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HMqNEMhBjvGDvfvF1hgk7v54toaaEsjCCjLJtyZBGp3DQNo3jIT+Fy3A0muxo+R1HiIFKZr0hv8dQRg038MIsA==" workbookSaltValue="P5lmtaXZYNmvhQwOtUVI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H9" i="11"/>
  <c r="BI15" i="11"/>
  <c r="BJ15" i="11"/>
  <c r="BJ12" i="11"/>
  <c r="AP15" i="20"/>
  <c r="BG15" i="11"/>
  <c r="R17" i="20"/>
  <c r="BK17" i="11"/>
  <c r="AZ9" i="11"/>
  <c r="AZ13" i="11" s="1"/>
  <c r="AP17" i="20"/>
  <c r="AZ15" i="11"/>
  <c r="AZ18" i="11" s="1"/>
  <c r="BU11" i="17"/>
  <c r="BV17" i="16"/>
  <c r="BU10" i="17"/>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BG10" i="8"/>
  <c r="AL16" i="11"/>
  <c r="C16" i="6"/>
  <c r="BE9" i="13"/>
  <c r="AZ19" i="11"/>
  <c r="BV16" i="16"/>
  <c r="BW17" i="20"/>
  <c r="BW9" i="20"/>
  <c r="BU15" i="17"/>
  <c r="T15" i="16"/>
  <c r="T17" i="16"/>
  <c r="BM15" i="11"/>
  <c r="BH17" i="11"/>
  <c r="BL11" i="11"/>
  <c r="BG9" i="11"/>
  <c r="BI17" i="11"/>
  <c r="R10" i="21"/>
  <c r="R13" i="21" s="1"/>
  <c r="R19" i="21" s="1"/>
  <c r="BJ11" i="11"/>
  <c r="V9" i="11"/>
  <c r="Q10" i="21"/>
  <c r="AP10" i="21"/>
  <c r="BK11" i="11"/>
  <c r="X11" i="17"/>
  <c r="BK9" i="11"/>
  <c r="BK12" i="11"/>
  <c r="P17" i="17"/>
  <c r="BG10" i="11"/>
  <c r="BL9" i="11"/>
  <c r="BF11" i="1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<sst xmlns="http://schemas.openxmlformats.org/spreadsheetml/2006/main" count="2102" uniqueCount="917">
  <si>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</si>
  <si>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</si>
  <si>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</si>
  <si>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</si>
  <si>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</si>
  <si>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</si>
  <si>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</si>
  <si>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</si>
  <si>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</si>
  <si>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</si>
  <si>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</si>
  <si>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</si>
  <si>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</si>
  <si>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</si>
  <si>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</si>
  <si>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</si>
  <si>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</si>
  <si>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</si>
  <si>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</si>
  <si>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</si>
  <si>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</si>
  <si>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</si>
  <si>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</si>
  <si>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</si>
  <si>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</si>
  <si>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</si>
  <si>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</si>
  <si>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</si>
  <si>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</si>
  <si>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</si>
  <si>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</si>
  <si>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</si>
  <si>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</si>
  <si>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</si>
  <si>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</si>
  <si>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</si>
  <si>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</si>
  <si>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</si>
  <si>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</si>
  <si>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</si>
  <si>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</si>
  <si>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</si>
  <si>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</si>
  <si>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</si>
  <si>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</si>
  <si>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</si>
  <si>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</si>
  <si>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</si>
  <si>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</si>
  <si>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</si>
  <si>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</si>
  <si>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</si>
  <si>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</si>
  <si>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</si>
  <si>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</si>
  <si>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</si>
  <si>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</si>
  <si>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</si>
  <si>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</si>
  <si>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</si>
  <si>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</si>
  <si>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</si>
  <si>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</si>
  <si>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</si>
  <si>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</si>
  <si>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</si>
  <si>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</si>
  <si>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</si>
  <si>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</si>
  <si>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</si>
  <si>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</si>
  <si>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</si>
  <si>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</si>
  <si>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</si>
  <si>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</si>
  <si>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</si>
  <si>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</si>
  <si>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</si>
  <si>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</si>
  <si>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</si>
  <si>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</si>
  <si>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</si>
  <si>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</si>
  <si>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</si>
  <si>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</si>
  <si>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</si>
  <si>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</si>
  <si>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</si>
  <si>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</si>
  <si>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</si>
  <si>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</si>
  <si>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</si>
  <si>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</si>
  <si>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</si>
  <si>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</si>
  <si>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</si>
  <si>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</si>
  <si>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</si>
  <si>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</si>
  <si>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</si>
  <si>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</si>
  <si>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</si>
  <si>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</si>
  <si>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</si>
  <si>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</si>
  <si>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</si>
  <si>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</si>
  <si>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</si>
  <si>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</si>
  <si>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</si>
  <si>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</si>
  <si>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</si>
  <si>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</si>
  <si>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</si>
  <si>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</si>
  <si>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</si>
  <si>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</si>
  <si>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</si>
  <si>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</si>
  <si>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</si>
  <si>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</si>
  <si>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</si>
  <si>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</si>
  <si>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</si>
  <si>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</si>
  <si>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</si>
  <si>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</si>
  <si>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</si>
  <si>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</si>
  <si>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</si>
  <si>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</si>
  <si>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</si>
  <si>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</si>
  <si>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</si>
  <si>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</si>
  <si>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</si>
  <si>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</si>
  <si>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</si>
  <si>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</si>
  <si>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</si>
  <si>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</si>
  <si>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</si>
  <si>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</si>
  <si>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</si>
  <si>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</si>
  <si>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</si>
  <si>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</si>
  <si>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</si>
  <si>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</si>
  <si>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</si>
  <si>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</si>
  <si>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</si>
  <si>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</si>
  <si>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</si>
  <si>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</si>
  <si>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</si>
  <si>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</si>
  <si>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</si>
  <si>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</si>
  <si>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</si>
  <si>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</si>
  <si>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</si>
  <si>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</si>
  <si>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</si>
  <si>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</si>
  <si>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</si>
  <si>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</si>
  <si>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</si>
  <si>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</si>
  <si>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</si>
  <si>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</si>
  <si>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</si>
  <si>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</si>
  <si>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</si>
  <si>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</si>
  <si>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</si>
  <si>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</si>
  <si>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</si>
  <si>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</si>
  <si>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</si>
  <si>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</si>
  <si>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</si>
  <si>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</si>
  <si>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</si>
  <si>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</si>
  <si>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</si>
  <si>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</si>
  <si>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</si>
  <si>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</si>
  <si>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</si>
  <si>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</si>
  <si>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</si>
  <si>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</si>
  <si>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</si>
  <si>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</si>
  <si>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</si>
  <si>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</si>
  <si>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</si>
  <si>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</si>
  <si>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</si>
  <si>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</si>
  <si>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</si>
  <si>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</si>
  <si>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</si>
  <si>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</si>
  <si>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</si>
  <si>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</si>
  <si>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</si>
  <si>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</si>
  <si>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</si>
  <si>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</si>
  <si>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</si>
  <si>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</si>
  <si>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</si>
  <si>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</si>
  <si>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</si>
  <si>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</si>
  <si>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</si>
  <si>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</si>
  <si>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</si>
  <si>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</si>
  <si>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</si>
  <si>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</si>
  <si>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</si>
  <si>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</si>
  <si>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</si>
  <si>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</si>
  <si>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</si>
  <si>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</si>
  <si>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</si>
  <si>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</si>
  <si>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</si>
  <si>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</si>
  <si>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</si>
  <si>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</si>
  <si>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</si>
  <si>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</si>
  <si>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</si>
  <si>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</si>
  <si>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</si>
  <si>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</si>
  <si>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</si>
  <si>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</si>
  <si>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</si>
  <si>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</si>
  <si>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</si>
  <si>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</si>
  <si>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</si>
  <si>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</si>
  <si>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</si>
  <si>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</si>
  <si>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</si>
  <si>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</si>
  <si>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</si>
  <si>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</si>
  <si>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</si>
  <si>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</si>
  <si>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</si>
  <si>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</si>
  <si>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</si>
  <si>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</si>
  <si>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</si>
  <si>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</si>
  <si>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</si>
  <si>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</si>
  <si>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</si>
  <si>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</si>
  <si>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</si>
  <si>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</si>
  <si>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</si>
  <si>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</si>
  <si>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</si>
  <si>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</si>
  <si>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</si>
  <si>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</si>
  <si>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</si>
  <si>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</si>
  <si>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</si>
  <si>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</si>
  <si>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</si>
  <si>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</si>
  <si>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</si>
  <si>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</si>
  <si>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</si>
  <si>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</si>
  <si>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</si>
  <si>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</si>
  <si>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</si>
  <si>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</si>
  <si>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</si>
  <si>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</si>
  <si>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</si>
  <si>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</si>
  <si>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</si>
  <si>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</si>
  <si>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</si>
  <si>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</si>
  <si>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</si>
  <si>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</si>
  <si>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</si>
  <si>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</si>
  <si>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</si>
  <si>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</si>
  <si>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</si>
  <si>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</si>
  <si>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</si>
  <si>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</si>
  <si>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</si>
  <si>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</si>
  <si>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</si>
  <si>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</si>
  <si>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</si>
  <si>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</si>
  <si>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</si>
  <si>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</si>
  <si>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</si>
  <si>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</si>
  <si>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</si>
  <si>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</si>
  <si>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</si>
  <si>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</si>
  <si>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</si>
  <si>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</si>
  <si>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</si>
  <si>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</si>
  <si>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</si>
  <si>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</si>
  <si>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</si>
  <si>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</si>
  <si>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</si>
  <si>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</si>
  <si>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</si>
  <si>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</si>
  <si>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</si>
  <si>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</si>
  <si>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</si>
  <si>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</si>
  <si>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</si>
  <si>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</si>
  <si>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</si>
  <si>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</si>
  <si>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</si>
  <si>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</si>
  <si>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</si>
  <si>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</si>
  <si>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</si>
  <si>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</si>
  <si>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</si>
  <si>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</si>
  <si>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</si>
  <si>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</si>
  <si>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</si>
  <si>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</si>
  <si>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</si>
  <si>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</si>
  <si>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</si>
  <si>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</si>
  <si>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</si>
  <si>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</si>
  <si>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</si>
  <si>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</si>
  <si>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</si>
  <si>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</si>
  <si>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</si>
  <si>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</si>
  <si>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</si>
  <si>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</si>
  <si>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</si>
  <si>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</si>
  <si>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</si>
  <si>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</si>
  <si>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</si>
  <si>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</si>
  <si>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</si>
  <si>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</si>
  <si>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</si>
  <si>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</si>
  <si>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</si>
  <si>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</si>
  <si>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</si>
  <si>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</si>
  <si>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</si>
  <si>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</si>
  <si>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</si>
  <si>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</si>
  <si>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</si>
  <si>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</si>
  <si>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</si>
  <si>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</si>
  <si>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</si>
  <si>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</si>
  <si>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</si>
  <si>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</si>
  <si>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</si>
  <si>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</si>
  <si>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</si>
  <si>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</si>
  <si>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</si>
  <si>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</si>
  <si>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</si>
  <si>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</si>
  <si>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</si>
  <si>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</si>
  <si>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</si>
  <si>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</si>
  <si>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</si>
  <si>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</si>
  <si>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</si>
  <si>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</si>
  <si>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</si>
  <si>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</si>
  <si>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</si>
  <si>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</si>
  <si>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</si>
  <si>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</si>
  <si>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</si>
  <si>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</si>
  <si>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</si>
  <si>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</si>
  <si>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</si>
  <si>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</si>
  <si>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</si>
  <si>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</si>
  <si>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</si>
  <si>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</si>
  <si>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</si>
  <si>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</si>
  <si>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</si>
  <si>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</si>
  <si>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</si>
  <si>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</si>
  <si>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</si>
  <si>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</si>
  <si>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</si>
  <si>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</si>
  <si>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</si>
  <si>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</si>
  <si>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</si>
  <si>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</si>
  <si>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</si>
  <si>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</si>
  <si>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</si>
  <si>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</si>
  <si>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</si>
  <si>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</si>
  <si>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</si>
  <si>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</si>
  <si>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</si>
  <si>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</si>
  <si>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</si>
  <si>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</si>
  <si>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</si>
  <si>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</si>
  <si>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</si>
  <si>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</si>
  <si>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</si>
  <si>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</si>
  <si>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</si>
  <si>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</si>
  <si>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</si>
  <si>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</si>
  <si>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</si>
  <si>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</si>
  <si>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</si>
  <si>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</si>
  <si>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</si>
  <si>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</si>
  <si>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</si>
  <si>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</si>
  <si>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</si>
  <si>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</si>
  <si>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</si>
  <si>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</si>
  <si>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</si>
  <si>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</si>
  <si>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</si>
  <si>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</si>
  <si>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</si>
  <si>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</si>
  <si>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</si>
  <si>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</si>
  <si>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</si>
  <si>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</si>
  <si>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</si>
  <si>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</si>
  <si>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</si>
  <si>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</si>
  <si>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</si>
  <si>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</si>
  <si>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</si>
  <si>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</si>
  <si>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</si>
  <si>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</si>
  <si>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</si>
  <si>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</si>
  <si>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</si>
  <si>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</si>
  <si>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</si>
  <si>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</si>
  <si>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</si>
  <si>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</si>
  <si>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</si>
  <si>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</si>
  <si>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</si>
  <si>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</si>
  <si>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</si>
  <si>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</si>
  <si>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</si>
  <si>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</si>
  <si>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</si>
  <si>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</si>
  <si>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</si>
  <si>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</si>
  <si>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</si>
  <si>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</si>
  <si>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</si>
  <si>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</si>
  <si>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</si>
  <si>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</si>
  <si>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</si>
  <si>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</si>
  <si>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</si>
  <si>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</si>
  <si>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</si>
  <si>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</si>
  <si>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</si>
  <si>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</si>
  <si>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</si>
  <si>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</si>
  <si>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</si>
  <si>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</si>
  <si>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</si>
  <si>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</si>
  <si>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</si>
  <si>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</si>
  <si>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</si>
  <si>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</si>
  <si>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</si>
  <si>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</si>
  <si>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</si>
  <si>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</si>
  <si>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</si>
  <si>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</si>
  <si>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</si>
  <si>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</si>
  <si>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</si>
  <si>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</si>
  <si>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</si>
  <si>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</si>
  <si>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</si>
  <si>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</si>
  <si>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</si>
  <si>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</si>
  <si>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</si>
  <si>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</si>
  <si>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</si>
  <si>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</si>
  <si>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</si>
  <si>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</si>
  <si>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</si>
  <si>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</si>
  <si>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</si>
  <si>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</si>
  <si>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</si>
  <si>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</si>
  <si>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</si>
  <si>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</si>
  <si>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</si>
  <si>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</si>
  <si>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</si>
  <si>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</si>
  <si>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</si>
  <si>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</si>
  <si>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</si>
  <si>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</si>
  <si>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</si>
  <si>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</si>
  <si>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</si>
  <si>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</si>
  <si>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</si>
  <si>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</si>
  <si>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</si>
  <si>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</si>
  <si>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</si>
  <si>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</si>
  <si>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</si>
  <si>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</si>
  <si>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</si>
  <si>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</si>
  <si>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</si>
  <si>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</si>
  <si>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</si>
  <si>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</si>
  <si>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</si>
  <si>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</si>
  <si>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</si>
  <si>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</si>
  <si>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</si>
  <si>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</si>
  <si>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</si>
  <si>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</si>
  <si>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</si>
  <si>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</si>
  <si>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</si>
  <si>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</si>
  <si>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</si>
  <si>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</si>
  <si>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</si>
  <si>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</si>
  <si>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</si>
  <si>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</si>
  <si>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</si>
  <si>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</si>
  <si>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</si>
  <si>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</si>
  <si>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</si>
  <si>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</si>
  <si>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</si>
  <si>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</si>
  <si>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</si>
  <si>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</si>
  <si>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</si>
  <si>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</si>
  <si>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</si>
  <si>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</si>
  <si>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</si>
  <si>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</si>
  <si>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</si>
  <si>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</si>
  <si>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</si>
  <si>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</si>
  <si>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</si>
  <si>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</si>
  <si>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</si>
  <si>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</si>
  <si>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</si>
  <si>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</si>
  <si>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</si>
  <si>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</si>
  <si>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</si>
  <si>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</si>
  <si>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</si>
  <si>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</si>
  <si>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</si>
  <si>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</si>
  <si>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</si>
  <si>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</si>
  <si>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</si>
  <si>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</si>
  <si>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</si>
  <si>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</si>
  <si>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</si>
  <si>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</si>
  <si>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</si>
  <si>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</si>
  <si>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</si>
  <si>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</si>
  <si>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</si>
  <si>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</si>
  <si>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</si>
  <si>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</si>
  <si>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</si>
  <si>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</si>
  <si>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</si>
  <si>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</si>
  <si>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</si>
  <si>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</si>
  <si>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</si>
  <si>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</si>
  <si>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</si>
  <si>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</si>
  <si>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</si>
  <si>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</si>
  <si>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</si>
  <si>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</si>
  <si>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</si>
  <si>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</si>
  <si>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</si>
  <si>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</si>
  <si>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</si>
  <si>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</si>
  <si>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</si>
  <si>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</si>
  <si>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</si>
  <si>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</si>
  <si>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</si>
  <si>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</si>
  <si>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</si>
  <si>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</si>
  <si>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</si>
  <si>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</si>
  <si>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</si>
  <si>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</si>
  <si>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</si>
  <si>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</si>
  <si>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</si>
  <si>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</si>
  <si>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</si>
  <si>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</si>
  <si>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</si>
  <si>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</si>
  <si>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</si>
  <si>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</si>
  <si>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</si>
  <si>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</si>
  <si>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</si>
  <si>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</si>
  <si>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</si>
  <si>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</si>
  <si>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</si>
  <si>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</si>
  <si>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</si>
  <si>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</si>
  <si>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</si>
  <si>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</si>
  <si>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</si>
  <si>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</si>
  <si>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</si>
  <si>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</si>
  <si>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</si>
  <si>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</si>
  <si>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</si>
  <si>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</si>
  <si>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</si>
  <si>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</si>
  <si>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</si>
  <si>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</si>
  <si>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</si>
  <si>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</si>
  <si>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</si>
  <si>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</si>
  <si>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</si>
  <si>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</si>
  <si>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</si>
  <si>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</si>
  <si>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</si>
  <si>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</si>
  <si>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</si>
  <si>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</si>
  <si>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</si>
  <si>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</si>
  <si>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</si>
  <si>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</si>
  <si>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</si>
  <si>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</si>
  <si>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</si>
  <si>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</si>
  <si>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</si>
  <si>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</si>
  <si>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</si>
  <si>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</si>
  <si>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</si>
  <si>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</si>
  <si>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</si>
  <si>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</si>
  <si>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</si>
  <si>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</si>
  <si>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</si>
  <si>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</si>
  <si>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</si>
  <si>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</si>
  <si>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</si>
  <si>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</si>
  <si>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</si>
  <si>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</si>
  <si>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</si>
  <si>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</si>
  <si>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</si>
  <si>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</si>
  <si>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</si>
  <si>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</si>
  <si>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</si>
  <si>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</si>
  <si>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</si>
  <si>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</si>
  <si>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</si>
  <si>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</si>
  <si>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</si>
  <si>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</si>
  <si>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</si>
  <si>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</si>
  <si>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</si>
  <si>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</si>
  <si>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</si>
  <si>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</si>
  <si>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</si>
  <si>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</si>
  <si>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</si>
  <si>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</si>
  <si>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</si>
  <si>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</si>
  <si>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</si>
  <si>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</si>
  <si>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</si>
  <si>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</si>
  <si>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</si>
  <si>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</si>
  <si>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</si>
  <si>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</si>
  <si>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</si>
  <si>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</si>
  <si>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</si>
  <si>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</si>
  <si>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</si>
  <si>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</si>
  <si>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</si>
  <si>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</si>
  <si>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</si>
  <si>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</si>
  <si>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</si>
  <si>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</si>
  <si>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</si>
  <si>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</si>
  <si>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</si>
  <si>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</si>
  <si>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</si>
  <si>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</si>
  <si>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</si>
  <si>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</si>
  <si>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</si>
  <si>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</si>
  <si>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</si>
  <si>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</si>
  <si>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</si>
  <si>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</si>
  <si>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</si>
  <si>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</si>
  <si>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</si>
  <si>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</si>
  <si>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</si>
  <si>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</si>
  <si>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</si>
  <si>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</si>
  <si>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</si>
  <si>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</si>
  <si>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</si>
  <si>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</si>
  <si>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</si>
  <si>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</si>
  <si>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</si>
  <si>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</si>
  <si>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</si>
  <si>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</si>
  <si>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</si>
  <si>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</si>
  <si>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</si>
  <si>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</si>
  <si>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</si>
  <si>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</si>
  <si>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</si>
  <si>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</si>
  <si>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</si>
  <si>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</si>
  <si>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</si>
  <si>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</si>
  <si>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</si>
  <si>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</si>
  <si>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</si>
  <si>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</si>
  <si>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</si>
  <si>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</si>
  <si>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</si>
  <si>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</si>
  <si>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</si>
  <si>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</si>
  <si>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</si>
  <si>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</si>
  <si>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</si>
  <si>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</si>
  <si>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</si>
  <si>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</si>
  <si>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</si>
  <si>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</si>
  <si>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</si>
  <si>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</si>
  <si>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</si>
  <si>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</si>
  <si>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</si>
  <si>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</si>
  <si>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</si>
  <si>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</si>
  <si>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</si>
  <si>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</si>
  <si>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</si>
  <si>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</si>
  <si>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</si>
  <si>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</si>
  <si>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</si>
  <si>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</si>
  <si>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</si>
  <si>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</si>
  <si>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</si>
  <si>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</si>
  <si>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</si>
  <si>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</si>
  <si>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</si>
  <si>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</si>
  <si>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</si>
  <si>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</si>
  <si>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</si>
  <si>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</si>
  <si>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</si>
  <si>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</si>
  <si>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</si>
  <si>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</si>
  <si>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</si>
  <si>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</si>
  <si>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</si>
  <si>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</si>
  <si>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</si>
  <si>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</si>
  <si>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</si>
  <si>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</si>
  <si>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</si>
  <si>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</si>
  <si>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</si>
  <si>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COSLADA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</si>
</sst>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zeu4REHSkCj/iH80aRDNlaHk1rnoSZeVSWEy0I5qdFGoHXmsa6iLW9fCQNKFIDrq8qvbm66AiomK78YlLUEcw==" saltValue="YMHDOQWjLpOWK1A4YWzn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14</v>
      </c>
      <c r="F10" s="226">
        <f>IF(ISNUMBER(Datos!K10),Datos!K10," - ")</f>
        <v>8</v>
      </c>
      <c r="G10" s="1034" t="str">
        <f>IF(Datos!E10&lt;&gt;"",Datos!E10,Datos!D10)</f>
        <v>37</v>
      </c>
      <c r="H10" s="227">
        <f>IF(ISNUMBER(Datos!L10),Datos!L10," - ")</f>
        <v>53</v>
      </c>
      <c r="I10" s="1044" t="str">
        <f>IF(ISNUMBER(Datos!AS10/Datos!BM10),Datos!AS10/Datos!BM10," - ")</f>
        <v xml:space="preserve"> - </v>
      </c>
      <c r="J10" s="1045">
        <f>IF(ISNUMBER(Datos!BY10/Datos!CN10),Datos!BY10/Datos!CN10," - ")</f>
        <v>0</v>
      </c>
      <c r="K10" s="230">
        <f t="shared" ref="K10:K12" si="1">IF(ISNUMBER((E10-F10)/C10),(E10-F10)/C10," - ")</f>
        <v>0.1276595744680851</v>
      </c>
      <c r="L10" s="1025">
        <f>IF(ISNUMBER(NºAsuntos!I10/NºAsuntos!G10),(NºAsuntos!I10/NºAsuntos!G10)*11," - ")</f>
        <v>72.875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35.831423113658076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14</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2344</v>
      </c>
      <c r="D16" s="225">
        <f>IF(ISNUMBER(IF(D_I="SI",Datos!I16,Datos!I16+Datos!AC16)),IF(D_I="SI",Datos!I16,Datos!I16+Datos!AC16)," - ")</f>
        <v>2312</v>
      </c>
      <c r="E16" s="226">
        <f>IF(ISNUMBER(IF(D_I="SI",Datos!J16,Datos!J16+Datos!AD16)),IF(D_I="SI",Datos!J16,Datos!J16+Datos!AD16)," - ")</f>
        <v>2275</v>
      </c>
      <c r="F16" s="226">
        <f>IF(ISNUMBER(IF(D_I="SI",Datos!K16,Datos!K16+Datos!AE16)),IF(D_I="SI",Datos!K16,Datos!K16+Datos!AE16)," - ")</f>
        <v>2300</v>
      </c>
      <c r="G16" s="1034" t="str">
        <f>IF(Datos!E16&lt;&gt;"",Datos!E16,Datos!D16)</f>
        <v>04</v>
      </c>
      <c r="H16" s="227">
        <f>IF(ISNUMBER(IF(D_I="SI",Datos!L16,Datos!L16+Datos!AF16)),IF(D_I="SI",Datos!L16,Datos!L16+Datos!AF16)," - ")</f>
        <v>2319</v>
      </c>
      <c r="I16" s="1044" t="str">
        <f>IF(ISNUMBER(Datos!AS16/Datos!BM16),Datos!AS16/Datos!BM16," - ")</f>
        <v xml:space="preserve"> - </v>
      </c>
      <c r="J16" s="1045">
        <f>IF(ISNUMBER(Datos!BY16/Datos!CN16),Datos!BY16/Datos!CN16," - ")</f>
        <v>0</v>
      </c>
      <c r="K16" s="230">
        <f t="shared" si="3"/>
        <v>-1.0665529010238909E-2</v>
      </c>
      <c r="L16" s="1025">
        <f>IF(ISNUMBER(NºAsuntos!I16/NºAsuntos!G16),(NºAsuntos!I16/NºAsuntos!G16)*11," - ")</f>
        <v>11.090869565217391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392</v>
      </c>
      <c r="F17" s="226">
        <f>IF(ISNUMBER(IF(D_I="SI",Datos!K17,Datos!K17+Datos!AE17)),IF(D_I="SI",Datos!K17,Datos!K17+Datos!AE17)," - ")</f>
        <v>275</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2.2941176470588234</v>
      </c>
      <c r="L17" s="1025">
        <f>IF(ISNUMBER(NºAsuntos!I17/NºAsuntos!G17),(NºAsuntos!I17/NºAsuntos!G17)*11," - ")</f>
        <v>6.7200000000000006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2395</v>
      </c>
      <c r="D18" s="1049">
        <f>SUBTOTAL(9,D15:D17)</f>
        <v>2363</v>
      </c>
      <c r="E18" s="1050">
        <f>SUBTOTAL(9,E15:E17)</f>
        <v>2667</v>
      </c>
      <c r="F18" s="1050">
        <f>SUBTOTAL(9,F15:F17)</f>
        <v>2575</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2442</v>
      </c>
      <c r="D19" s="1071">
        <f>SUBTOTAL(9,D9:D18)</f>
        <v>2410</v>
      </c>
      <c r="E19" s="1072">
        <f>SUBTOTAL(9,E9:E18)</f>
        <v>2681</v>
      </c>
      <c r="F19" s="1072">
        <f>SUBTOTAL(9,F9:F18)</f>
        <v>2583</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Yr9clPQ4tbu/6+Pm282esGp54cBSJ3xfd43fL6DORM7xkQZfStrwS4srUKzzf+rpNnQ4mdhtsAhCPFRhYuvQ==" saltValue="d4jsjRTYsEBa7nArW2o+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bfLXLT9XZWE0BoN5x1TpJjbtNlNdNkf6dC2+Z1xgNkN1KGLh74uMcZwVBi9PIWFphttlWUrHuvX0DjEbYVrHQ==" saltValue="GbxQ+wiFKYs3DU3HsMlS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14</v>
      </c>
      <c r="K10" s="181">
        <v>8</v>
      </c>
      <c r="L10" s="181">
        <v>53</v>
      </c>
      <c r="M10" s="181">
        <v>0</v>
      </c>
      <c r="N10" s="181">
        <v>8</v>
      </c>
      <c r="O10" s="181">
        <v>0</v>
      </c>
      <c r="P10" s="181">
        <v>9</v>
      </c>
      <c r="Q10" s="181">
        <v>0</v>
      </c>
      <c r="R10" s="181">
        <v>40</v>
      </c>
      <c r="S10" s="181">
        <v>20</v>
      </c>
      <c r="T10" s="181">
        <v>14</v>
      </c>
      <c r="U10" s="181">
        <v>16</v>
      </c>
      <c r="V10" s="181">
        <v>18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20</v>
      </c>
      <c r="AZ10" s="129">
        <f t="shared" si="0"/>
        <v>14</v>
      </c>
      <c r="BA10" s="129">
        <f t="shared" si="0"/>
        <v>16</v>
      </c>
      <c r="BB10" s="129">
        <f t="shared" si="0"/>
        <v>18</v>
      </c>
      <c r="BC10" s="125">
        <f t="shared" si="0"/>
        <v>0</v>
      </c>
      <c r="BD10" s="126">
        <f>IF(ISNUMBER(BA10/AZ10),BA10/AZ10," - ")</f>
        <v>1.1428571428571428</v>
      </c>
      <c r="BE10" s="127">
        <f>IF(ISNUMBER(BB10/BA10),BB10/BA10, " - ")</f>
        <v>1.125</v>
      </c>
      <c r="BF10" s="127">
        <f>IF(ISNUMBER(BC10/BA10),BC10/BA10, " - ")</f>
        <v>0</v>
      </c>
      <c r="BG10" s="196">
        <f>IF(ISNUMBER((AY10+AZ10)/BA10),(AY10+AZ10)/BA10," - ")</f>
        <v>2.125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6229</v>
      </c>
      <c r="J12" s="183">
        <v>2390</v>
      </c>
      <c r="K12" s="183">
        <v>1934</v>
      </c>
      <c r="L12" s="183">
        <v>6685</v>
      </c>
      <c r="M12" s="183">
        <v>456</v>
      </c>
      <c r="N12" s="183">
        <v>964</v>
      </c>
      <c r="O12" s="181">
        <v>789</v>
      </c>
      <c r="P12" s="183">
        <v>381</v>
      </c>
      <c r="Q12" s="183">
        <v>204</v>
      </c>
      <c r="R12" s="183">
        <v>6859</v>
      </c>
      <c r="S12" s="183">
        <v>4090</v>
      </c>
      <c r="T12" s="183">
        <v>2224</v>
      </c>
      <c r="U12" s="183">
        <v>1274</v>
      </c>
      <c r="V12" s="183">
        <v>5040</v>
      </c>
      <c r="W12" s="183">
        <v>287</v>
      </c>
      <c r="X12" s="189">
        <v>743</v>
      </c>
      <c r="Y12" s="191">
        <v>140</v>
      </c>
      <c r="Z12" s="181">
        <v>156</v>
      </c>
      <c r="AA12" s="181">
        <v>160</v>
      </c>
      <c r="AB12" s="181">
        <v>136</v>
      </c>
      <c r="AC12" s="183">
        <v>0</v>
      </c>
      <c r="AD12" s="183">
        <v>0</v>
      </c>
      <c r="AE12" s="183">
        <v>0</v>
      </c>
      <c r="AF12" s="189">
        <v>0</v>
      </c>
      <c r="AG12" s="202">
        <v>180</v>
      </c>
      <c r="AH12" s="183">
        <v>159</v>
      </c>
      <c r="AI12" s="183">
        <v>168</v>
      </c>
      <c r="AJ12" s="203">
        <v>171</v>
      </c>
      <c r="AK12" s="182">
        <v>0</v>
      </c>
      <c r="AL12" s="183">
        <v>0</v>
      </c>
      <c r="AM12" s="183">
        <v>0</v>
      </c>
      <c r="AN12" s="189">
        <v>0</v>
      </c>
      <c r="AO12" s="259">
        <v>6</v>
      </c>
      <c r="AP12" s="155">
        <v>6</v>
      </c>
      <c r="AQ12" s="155">
        <v>6</v>
      </c>
      <c r="AR12" s="154">
        <v>6</v>
      </c>
      <c r="AS12" s="340" t="s">
        <v>802</v>
      </c>
      <c r="AT12" s="203"/>
      <c r="AU12" s="202"/>
      <c r="AV12" s="203"/>
      <c r="AW12" s="202"/>
      <c r="AX12" s="203"/>
      <c r="AY12" s="126">
        <f t="shared" si="1"/>
        <v>4270</v>
      </c>
      <c r="AZ12" s="127">
        <f t="shared" si="1"/>
        <v>2383</v>
      </c>
      <c r="BA12" s="127">
        <f t="shared" si="1"/>
        <v>1442</v>
      </c>
      <c r="BB12" s="127">
        <f t="shared" si="1"/>
        <v>5211</v>
      </c>
      <c r="BC12" s="125">
        <f>IF(ISNUMBER(X12),X12," - ")</f>
        <v>743</v>
      </c>
      <c r="BD12" s="126">
        <f t="shared" si="2"/>
        <v>0.60511959714645402</v>
      </c>
      <c r="BE12" s="127">
        <f t="shared" si="3"/>
        <v>3.6137309292649098</v>
      </c>
      <c r="BF12" s="127">
        <f t="shared" si="4"/>
        <v>0.51525658807212205</v>
      </c>
      <c r="BG12" s="196">
        <f t="shared" si="5"/>
        <v>4.6137309292649098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6276</v>
      </c>
      <c r="J13" s="184">
        <f t="shared" si="6"/>
        <v>2404</v>
      </c>
      <c r="K13" s="184">
        <f t="shared" si="6"/>
        <v>1942</v>
      </c>
      <c r="L13" s="184">
        <f t="shared" si="6"/>
        <v>6738</v>
      </c>
      <c r="M13" s="184">
        <f t="shared" si="6"/>
        <v>456</v>
      </c>
      <c r="N13" s="184">
        <f t="shared" si="6"/>
        <v>972</v>
      </c>
      <c r="O13" s="184">
        <f t="shared" si="6"/>
        <v>789</v>
      </c>
      <c r="P13" s="184">
        <f t="shared" si="6"/>
        <v>390</v>
      </c>
      <c r="Q13" s="184">
        <f t="shared" si="6"/>
        <v>204</v>
      </c>
      <c r="R13" s="184">
        <f t="shared" si="6"/>
        <v>6899</v>
      </c>
      <c r="S13" s="184">
        <f t="shared" si="6"/>
        <v>4110</v>
      </c>
      <c r="T13" s="184">
        <f t="shared" si="6"/>
        <v>2238</v>
      </c>
      <c r="U13" s="184">
        <f t="shared" si="6"/>
        <v>1290</v>
      </c>
      <c r="V13" s="184">
        <f t="shared" si="6"/>
        <v>5058</v>
      </c>
      <c r="W13" s="184">
        <f t="shared" si="6"/>
        <v>287</v>
      </c>
      <c r="X13" s="184">
        <f t="shared" si="6"/>
        <v>743</v>
      </c>
      <c r="Y13" s="184">
        <f t="shared" si="6"/>
        <v>140</v>
      </c>
      <c r="Z13" s="184">
        <f t="shared" si="6"/>
        <v>156</v>
      </c>
      <c r="AA13" s="184">
        <f t="shared" si="6"/>
        <v>160</v>
      </c>
      <c r="AB13" s="184">
        <f t="shared" si="6"/>
        <v>136</v>
      </c>
      <c r="AC13" s="184">
        <f t="shared" si="6"/>
        <v>0</v>
      </c>
      <c r="AD13" s="184">
        <f t="shared" si="6"/>
        <v>0</v>
      </c>
      <c r="AE13" s="184">
        <f t="shared" si="6"/>
        <v>0</v>
      </c>
      <c r="AF13" s="184">
        <f>SUBTOTAL(9,AF9:AF12)</f>
        <v>0</v>
      </c>
      <c r="AG13" s="184">
        <f t="shared" ref="AG13:AT13" si="7">SUBTOTAL(9,AG8:AG12)</f>
        <v>180</v>
      </c>
      <c r="AH13" s="184">
        <f t="shared" si="7"/>
        <v>159</v>
      </c>
      <c r="AI13" s="184">
        <f t="shared" si="7"/>
        <v>168</v>
      </c>
      <c r="AJ13" s="184">
        <f t="shared" si="7"/>
        <v>171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4290</v>
      </c>
      <c r="AZ13" s="184">
        <f>SUBTOTAL(9,AZ8:AZ12)</f>
        <v>2397</v>
      </c>
      <c r="BA13" s="184">
        <f>SUBTOTAL(9,BA8:BA12)</f>
        <v>1458</v>
      </c>
      <c r="BB13" s="184">
        <f>SUBTOTAL(9,BB8:BB12)</f>
        <v>5229</v>
      </c>
      <c r="BC13" s="184">
        <f>SUBTOTAL(9,BC8:BC12)</f>
        <v>743</v>
      </c>
      <c r="BD13" s="205">
        <f>IF(ISNUMBER(BA13/AZ13),BA13/AZ13," - ")</f>
        <v>0.60826032540675845</v>
      </c>
      <c r="BE13" s="206">
        <f>IF(ISNUMBER(BB13/BA13),BB13/BA13, " - ")</f>
        <v>3.5864197530864197</v>
      </c>
      <c r="BF13" s="206">
        <f>IF(ISNUMBER(BC13/BA13),BC13/BA13, " - ")</f>
        <v>0.50960219478738</v>
      </c>
      <c r="BG13" s="207">
        <f>IF(ISNUMBER((AY13+AZ13)/BA13),(AY13+AZ13)/BA13," - ")</f>
        <v>4.5864197530864201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2312</v>
      </c>
      <c r="J16" s="183">
        <v>2275</v>
      </c>
      <c r="K16" s="183">
        <v>2300</v>
      </c>
      <c r="L16" s="183">
        <v>2319</v>
      </c>
      <c r="M16" s="183">
        <v>243</v>
      </c>
      <c r="N16" s="183">
        <v>1509</v>
      </c>
      <c r="O16" s="181">
        <v>9</v>
      </c>
      <c r="P16" s="183">
        <v>41</v>
      </c>
      <c r="Q16" s="183">
        <v>58</v>
      </c>
      <c r="R16" s="183">
        <v>293</v>
      </c>
      <c r="S16" s="183">
        <v>1789</v>
      </c>
      <c r="T16" s="183">
        <v>2209</v>
      </c>
      <c r="U16" s="183">
        <v>2131</v>
      </c>
      <c r="V16" s="183">
        <v>1758</v>
      </c>
      <c r="W16" s="183">
        <v>234</v>
      </c>
      <c r="X16" s="189">
        <v>1405</v>
      </c>
      <c r="Y16" s="202">
        <v>0</v>
      </c>
      <c r="Z16" s="183">
        <v>0</v>
      </c>
      <c r="AA16" s="183">
        <v>0</v>
      </c>
      <c r="AB16" s="183">
        <v>0</v>
      </c>
      <c r="AC16" s="183">
        <v>18</v>
      </c>
      <c r="AD16" s="183">
        <v>30</v>
      </c>
      <c r="AE16" s="183">
        <v>31</v>
      </c>
      <c r="AF16" s="189">
        <v>17</v>
      </c>
      <c r="AG16" s="202">
        <v>0</v>
      </c>
      <c r="AH16" s="183">
        <v>0</v>
      </c>
      <c r="AI16" s="183">
        <v>0</v>
      </c>
      <c r="AJ16" s="203">
        <v>0</v>
      </c>
      <c r="AK16" s="182">
        <v>12</v>
      </c>
      <c r="AL16" s="183">
        <v>46</v>
      </c>
      <c r="AM16" s="183">
        <v>43</v>
      </c>
      <c r="AN16" s="189">
        <v>15</v>
      </c>
      <c r="AO16" s="259">
        <v>6</v>
      </c>
      <c r="AP16" s="155">
        <v>6</v>
      </c>
      <c r="AQ16" s="155">
        <v>6</v>
      </c>
      <c r="AR16" s="155">
        <v>6</v>
      </c>
      <c r="AS16" s="340" t="s">
        <v>487</v>
      </c>
      <c r="AT16" s="203"/>
      <c r="AU16" s="202"/>
      <c r="AV16" s="203"/>
      <c r="AW16" s="202"/>
      <c r="AX16" s="203"/>
      <c r="AY16" s="126">
        <f t="shared" si="9"/>
        <v>1789</v>
      </c>
      <c r="AZ16" s="127">
        <f t="shared" si="9"/>
        <v>2209</v>
      </c>
      <c r="BA16" s="127">
        <f t="shared" si="9"/>
        <v>2131</v>
      </c>
      <c r="BB16" s="127">
        <f t="shared" si="9"/>
        <v>1758</v>
      </c>
      <c r="BC16" s="125">
        <f>IF(ISNUMBER(W16),W16," - ")</f>
        <v>234</v>
      </c>
      <c r="BD16" s="126">
        <f t="shared" ref="BD16" si="11">IF(ISNUMBER(BA16/AZ16),BA16/AZ16," - ")</f>
        <v>0.96468990493435947</v>
      </c>
      <c r="BE16" s="127">
        <f t="shared" ref="BE16" si="12">IF(ISNUMBER(BB16/BA16),BB16/BA16, " - ")</f>
        <v>0.82496480525574845</v>
      </c>
      <c r="BF16" s="127">
        <f t="shared" ref="BF16" si="13">IF(ISNUMBER(BC16/BA16),BC16/BA16, " - ")</f>
        <v>0.10980760206475833</v>
      </c>
      <c r="BG16" s="196">
        <f t="shared" si="10"/>
        <v>1.8761145002346316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392</v>
      </c>
      <c r="K17" s="183">
        <v>275</v>
      </c>
      <c r="L17" s="183">
        <v>168</v>
      </c>
      <c r="M17" s="183">
        <v>4</v>
      </c>
      <c r="N17" s="183">
        <v>201</v>
      </c>
      <c r="O17" s="183">
        <v>0</v>
      </c>
      <c r="P17" s="183">
        <v>0</v>
      </c>
      <c r="Q17" s="183">
        <v>7</v>
      </c>
      <c r="R17" s="183">
        <v>3</v>
      </c>
      <c r="S17" s="183">
        <v>33</v>
      </c>
      <c r="T17" s="183">
        <v>319</v>
      </c>
      <c r="U17" s="183">
        <v>295</v>
      </c>
      <c r="V17" s="183">
        <v>57</v>
      </c>
      <c r="W17" s="183">
        <v>16</v>
      </c>
      <c r="X17" s="189">
        <v>211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33</v>
      </c>
      <c r="AZ17" s="129">
        <f t="shared" si="14"/>
        <v>319</v>
      </c>
      <c r="BA17" s="129">
        <f t="shared" si="14"/>
        <v>295</v>
      </c>
      <c r="BB17" s="129">
        <f t="shared" si="14"/>
        <v>57</v>
      </c>
      <c r="BC17" s="125">
        <f>IF(ISNUMBER(W17),W17," - ")</f>
        <v>16</v>
      </c>
      <c r="BD17" s="126">
        <f>IF(ISNUMBER(BA17/AZ17),BA17/AZ17," - ")</f>
        <v>0.92476489028213171</v>
      </c>
      <c r="BE17" s="127">
        <f>IF(ISNUMBER(BB17/BA17),BB17/BA17, " - ")</f>
        <v>0.19322033898305085</v>
      </c>
      <c r="BF17" s="127">
        <f>IF(ISNUMBER(BC17/BA17),BC17/BA17, " - ")</f>
        <v>5.4237288135593219E-2</v>
      </c>
      <c r="BG17" s="196">
        <f>IF(ISNUMBER((AY17+AZ17)/BA17),(AY17+AZ17)/BA17," - ")</f>
        <v>1.1932203389830509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2363</v>
      </c>
      <c r="J18" s="184">
        <f t="shared" si="15"/>
        <v>2667</v>
      </c>
      <c r="K18" s="184">
        <f t="shared" si="15"/>
        <v>2575</v>
      </c>
      <c r="L18" s="184">
        <f t="shared" si="15"/>
        <v>2487</v>
      </c>
      <c r="M18" s="184">
        <f t="shared" si="15"/>
        <v>247</v>
      </c>
      <c r="N18" s="184">
        <f t="shared" si="15"/>
        <v>1710</v>
      </c>
      <c r="O18" s="184">
        <f t="shared" si="15"/>
        <v>9</v>
      </c>
      <c r="P18" s="184">
        <f t="shared" si="15"/>
        <v>41</v>
      </c>
      <c r="Q18" s="184">
        <f t="shared" si="15"/>
        <v>65</v>
      </c>
      <c r="R18" s="184">
        <f t="shared" si="15"/>
        <v>296</v>
      </c>
      <c r="S18" s="184">
        <f t="shared" si="15"/>
        <v>1822</v>
      </c>
      <c r="T18" s="184">
        <f t="shared" si="15"/>
        <v>2528</v>
      </c>
      <c r="U18" s="184">
        <f t="shared" si="15"/>
        <v>2426</v>
      </c>
      <c r="V18" s="184">
        <f t="shared" si="15"/>
        <v>1815</v>
      </c>
      <c r="W18" s="184">
        <f t="shared" si="15"/>
        <v>250</v>
      </c>
      <c r="X18" s="184">
        <f t="shared" si="15"/>
        <v>1616</v>
      </c>
      <c r="Y18" s="184">
        <f t="shared" si="15"/>
        <v>0</v>
      </c>
      <c r="Z18" s="184">
        <f t="shared" si="15"/>
        <v>0</v>
      </c>
      <c r="AA18" s="184">
        <f t="shared" si="15"/>
        <v>0</v>
      </c>
      <c r="AB18" s="184">
        <f t="shared" si="15"/>
        <v>0</v>
      </c>
      <c r="AC18" s="184">
        <f t="shared" si="15"/>
        <v>18</v>
      </c>
      <c r="AD18" s="184">
        <f t="shared" si="15"/>
        <v>30</v>
      </c>
      <c r="AE18" s="184">
        <f t="shared" si="15"/>
        <v>31</v>
      </c>
      <c r="AF18" s="184">
        <f t="shared" si="15"/>
        <v>17</v>
      </c>
      <c r="AG18" s="184">
        <f t="shared" si="15"/>
        <v>0</v>
      </c>
      <c r="AH18" s="184">
        <f t="shared" si="15"/>
        <v>0</v>
      </c>
      <c r="AI18" s="184">
        <f t="shared" si="15"/>
        <v>0</v>
      </c>
      <c r="AJ18" s="184">
        <f t="shared" si="15"/>
        <v>0</v>
      </c>
      <c r="AK18" s="184">
        <f t="shared" si="15"/>
        <v>12</v>
      </c>
      <c r="AL18" s="184">
        <f t="shared" si="15"/>
        <v>46</v>
      </c>
      <c r="AM18" s="184">
        <f t="shared" si="15"/>
        <v>43</v>
      </c>
      <c r="AN18" s="184">
        <f t="shared" si="15"/>
        <v>15</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1822</v>
      </c>
      <c r="AZ18" s="184">
        <f>SUBTOTAL(9,AZ14:AZ17)</f>
        <v>2528</v>
      </c>
      <c r="BA18" s="184">
        <f>SUBTOTAL(9,BA14:BA17)</f>
        <v>2426</v>
      </c>
      <c r="BB18" s="184">
        <f>SUBTOTAL(9,BB14:BB17)</f>
        <v>1815</v>
      </c>
      <c r="BC18" s="184">
        <f>SUBTOTAL(9,BC14:BC17)</f>
        <v>250</v>
      </c>
      <c r="BD18" s="205">
        <f>IF(ISNUMBER(BA18/AZ18),BA18/AZ18," - ")</f>
        <v>0.95965189873417722</v>
      </c>
      <c r="BE18" s="206">
        <f>IF(ISNUMBER(BB18/BA18),BB18/BA18, " - ")</f>
        <v>0.74814509480626545</v>
      </c>
      <c r="BF18" s="206">
        <f>IF(ISNUMBER(BC18/BA18),BC18/BA18, " - ")</f>
        <v>0.10305028854080792</v>
      </c>
      <c r="BG18" s="207">
        <f>IF(ISNUMBER((AY18+AZ18)/BA18),(AY18+AZ18)/BA18," - ")</f>
        <v>1.7930750206100576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8639</v>
      </c>
      <c r="J19" s="134">
        <f t="shared" si="18"/>
        <v>5071</v>
      </c>
      <c r="K19" s="134">
        <f t="shared" si="18"/>
        <v>4517</v>
      </c>
      <c r="L19" s="134">
        <f t="shared" si="18"/>
        <v>9225</v>
      </c>
      <c r="M19" s="134">
        <f t="shared" si="18"/>
        <v>703</v>
      </c>
      <c r="N19" s="134">
        <f t="shared" si="18"/>
        <v>2682</v>
      </c>
      <c r="O19" s="134">
        <f t="shared" si="18"/>
        <v>798</v>
      </c>
      <c r="P19" s="134">
        <f t="shared" si="18"/>
        <v>431</v>
      </c>
      <c r="Q19" s="134">
        <f t="shared" si="18"/>
        <v>269</v>
      </c>
      <c r="R19" s="134">
        <f t="shared" si="18"/>
        <v>7195</v>
      </c>
      <c r="S19" s="134">
        <f t="shared" si="18"/>
        <v>5932</v>
      </c>
      <c r="T19" s="134">
        <f t="shared" si="18"/>
        <v>4766</v>
      </c>
      <c r="U19" s="134">
        <f t="shared" si="18"/>
        <v>3716</v>
      </c>
      <c r="V19" s="134">
        <f t="shared" si="18"/>
        <v>6873</v>
      </c>
      <c r="W19" s="134">
        <f t="shared" si="18"/>
        <v>537</v>
      </c>
      <c r="X19" s="134">
        <f t="shared" si="18"/>
        <v>2359</v>
      </c>
      <c r="Y19" s="134">
        <f t="shared" si="18"/>
        <v>140</v>
      </c>
      <c r="Z19" s="134">
        <f t="shared" si="18"/>
        <v>156</v>
      </c>
      <c r="AA19" s="134">
        <f t="shared" si="18"/>
        <v>160</v>
      </c>
      <c r="AB19" s="134">
        <f t="shared" si="18"/>
        <v>136</v>
      </c>
      <c r="AC19" s="134">
        <f t="shared" si="18"/>
        <v>18</v>
      </c>
      <c r="AD19" s="134">
        <f t="shared" si="18"/>
        <v>30</v>
      </c>
      <c r="AE19" s="134">
        <f t="shared" si="18"/>
        <v>31</v>
      </c>
      <c r="AF19" s="134">
        <f t="shared" si="18"/>
        <v>17</v>
      </c>
      <c r="AG19" s="134">
        <f t="shared" si="18"/>
        <v>180</v>
      </c>
      <c r="AH19" s="134">
        <f t="shared" si="18"/>
        <v>159</v>
      </c>
      <c r="AI19" s="134">
        <f t="shared" si="18"/>
        <v>168</v>
      </c>
      <c r="AJ19" s="134">
        <f t="shared" si="18"/>
        <v>171</v>
      </c>
      <c r="AK19" s="134">
        <f t="shared" si="18"/>
        <v>12</v>
      </c>
      <c r="AL19" s="134">
        <f t="shared" si="18"/>
        <v>46</v>
      </c>
      <c r="AM19" s="134">
        <f t="shared" si="18"/>
        <v>43</v>
      </c>
      <c r="AN19" s="210">
        <f t="shared" si="18"/>
        <v>15</v>
      </c>
      <c r="AO19" s="211">
        <v>7</v>
      </c>
      <c r="AP19" s="211">
        <v>7</v>
      </c>
      <c r="AQ19" s="211">
        <v>7</v>
      </c>
      <c r="AR19" s="211">
        <v>7</v>
      </c>
      <c r="AS19" s="153">
        <f t="shared" si="18"/>
        <v>0</v>
      </c>
      <c r="AT19" s="153">
        <f t="shared" si="18"/>
        <v>0</v>
      </c>
      <c r="AU19" s="211"/>
      <c r="AV19" s="212"/>
      <c r="AW19" s="211"/>
      <c r="AX19" s="212"/>
      <c r="AY19" s="133">
        <f>SUBTOTAL(9,AY9:AY18)</f>
        <v>6112</v>
      </c>
      <c r="AZ19" s="134">
        <f>SUBTOTAL(9,AZ9:AZ18)</f>
        <v>4925</v>
      </c>
      <c r="BA19" s="134">
        <f>SUBTOTAL(9,BA9:BA18)</f>
        <v>3884</v>
      </c>
      <c r="BB19" s="134">
        <f>SUBTOTAL(9,BB9:BB18)</f>
        <v>7044</v>
      </c>
      <c r="BC19" s="135">
        <f>SUBTOTAL(9,BC9:BC18)</f>
        <v>993</v>
      </c>
      <c r="BD19" s="213">
        <f>IF(ISNUMBER(BA19/AZ19),BA19/AZ19," - ")</f>
        <v>0.78862944162436543</v>
      </c>
      <c r="BE19" s="210">
        <f>IF(ISNUMBER(BB19/BA19),BB19/BA19, " - ")</f>
        <v>1.8135942327497425</v>
      </c>
      <c r="BF19" s="210">
        <f>IF(ISNUMBER(BC19/BA19),BC19/BA19, " - ")</f>
        <v>0.25566426364572603</v>
      </c>
      <c r="BG19" s="135">
        <f>IF(ISNUMBER((AY19+AZ19)/BA19),(AY19+AZ19)/BA19," - ")</f>
        <v>2.8416580844490218</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yVjX3z7bb6kviWxb9lmtSX/h2rAhgb4f0WG3GpaQSRs4PfUr+HKZ8r0iUxc7/9iTqJBtIsQcd9/knihgNcqzA==" saltValue="xR6IbpsUDVj0wfD+Z1K5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MsTTw9IkP8KGp90uy5uMEP1N25rJ8YS7YmhO/DkwHVq3gpyfws1Cgbfl1Wafq7HtYun2it2MutPAL5v/8Yqww==" saltValue="dDgvn1gNiTL+gublEPkh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53</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8</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19.875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0.29032258064516131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156</v>
      </c>
      <c r="O12" s="334"/>
      <c r="P12" s="334"/>
      <c r="Q12" s="226">
        <f>IF(ISNUMBER(Datos!P12),Datos!P12,0)</f>
        <v>381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136</v>
      </c>
      <c r="AI12" s="334" t="str">
        <f>IF(ISNUMBER(Datos!CD12),Datos!CD12,"-")</f>
        <v>-</v>
      </c>
      <c r="AJ12" s="334" t="str">
        <f>IF(ISNUMBER(Datos!EN12),Datos!EN12," - ")</f>
        <v xml:space="preserve"> - </v>
      </c>
      <c r="AK12" s="334"/>
      <c r="AL12" s="479"/>
      <c r="AM12" s="335">
        <f>IF(ISNUMBER(Datos!R12),Datos!R12," - ")</f>
        <v>6859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456</v>
      </c>
      <c r="BD12" s="229">
        <f>IF(ISNUMBER(Datos!N12),Datos!N12," - ")</f>
        <v>964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0.82246661429693635</v>
      </c>
      <c r="BH12" s="260">
        <f>IF(ISNUMBER(((IF(J_V="SI",Datos!L12/Datos!K12,(Datos!L12+Datos!AB12)/(Datos!K12+Datos!AA12)))*11)/factor_trimestre),((IF(J_V="SI",Datos!L12/Datos!K12,(Datos!L12+Datos!AB12)/(Datos!K12+Datos!AA12)))*11)/factor_trimestre," - ")</f>
        <v>9.7722063037249303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2.6489075127207422E-2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156</v>
      </c>
      <c r="O13" s="900">
        <f t="shared" si="0"/>
        <v>0</v>
      </c>
      <c r="P13" s="900">
        <f t="shared" si="0"/>
        <v>0</v>
      </c>
      <c r="Q13" s="899">
        <f t="shared" si="0"/>
        <v>390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204</v>
      </c>
      <c r="AD13" s="899">
        <f t="shared" si="1"/>
        <v>0</v>
      </c>
      <c r="AE13" s="899">
        <f t="shared" si="1"/>
        <v>0</v>
      </c>
      <c r="AF13" s="899">
        <f t="shared" si="1"/>
        <v>53</v>
      </c>
      <c r="AG13" s="899">
        <f t="shared" si="1"/>
        <v>0</v>
      </c>
      <c r="AH13" s="899">
        <f t="shared" si="1"/>
        <v>136</v>
      </c>
      <c r="AI13" s="899">
        <f t="shared" si="1"/>
        <v>0</v>
      </c>
      <c r="AJ13" s="899">
        <f t="shared" si="1"/>
        <v>0</v>
      </c>
      <c r="AK13" s="899">
        <f t="shared" si="1"/>
        <v>0</v>
      </c>
      <c r="AL13" s="899">
        <f t="shared" si="1"/>
        <v>0</v>
      </c>
      <c r="AM13" s="899">
        <f t="shared" si="1"/>
        <v>6899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456</v>
      </c>
      <c r="BD13" s="899">
        <f t="shared" si="1"/>
        <v>972</v>
      </c>
      <c r="BE13" s="899">
        <f t="shared" si="1"/>
        <v>0</v>
      </c>
      <c r="BF13" s="899">
        <f t="shared" si="1"/>
        <v>0</v>
      </c>
      <c r="BG13" s="899">
        <f>IF(ISNUMBER(Datos!K13/Datos!J13),Datos!K13/Datos!J13," - ")</f>
        <v>0.8078202995008319</v>
      </c>
      <c r="BH13" s="903">
        <f>IF(ISNUMBER(((Datos!L13/Datos!K13)*11)/factor_trimestre),((Datos!L13/Datos!K13)*11)/factor_trimestre," - ")</f>
        <v>10.40885684860968</v>
      </c>
      <c r="BI13" s="899">
        <f>IF(ISNUMBER('Resol  Asuntos'!D13/NºAsuntos!G13),'Resol  Asuntos'!D13/NºAsuntos!G13," - ")</f>
        <v>0.21693625118934348</v>
      </c>
      <c r="BJ13" s="899" t="str">
        <f>IF(ISNUMBER(Datos!CI13/Datos!CJ13),Datos!CI13/Datos!CJ13," - ")</f>
        <v xml:space="preserve"> - </v>
      </c>
      <c r="BK13" s="899">
        <f>SUBTOTAL(9,BK8:BK12)</f>
        <v>0</v>
      </c>
      <c r="BL13" s="899">
        <f>IF(ISNUMBER((I13-AB13+L13)/(F13)),(I13-AB13+L13)/(F13)," - ")</f>
        <v>-0.1702127659574468</v>
      </c>
      <c r="BM13" s="904">
        <f>SUBTOTAL(9,BM9:BM12)</f>
        <v>0.31681165577236875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2344</v>
      </c>
      <c r="G16" s="598">
        <f>IF(ISNUMBER(IF(D_I="SI",Datos!I16,Datos!I16+Datos!AC16)),IF(D_I="SI",Datos!I16,Datos!I16+Datos!AC16)," - ")</f>
        <v>2312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2300</v>
      </c>
      <c r="AC16" s="226">
        <f>IF(ISNUMBER(Datos!Q16),Datos!Q16," - ")</f>
        <v>58</v>
      </c>
      <c r="AD16" s="334"/>
      <c r="AE16" s="484"/>
      <c r="AF16" s="596">
        <f>IF(ISNUMBER(IF(D_I="SI",Datos!L16,Datos!L16+Datos!AF16)),IF(D_I="SI",Datos!L16,Datos!L16+Datos!AF16)," - ")</f>
        <v>2319</v>
      </c>
      <c r="AG16" s="334"/>
      <c r="AH16" s="334"/>
      <c r="AI16" s="334"/>
      <c r="AJ16" s="334"/>
      <c r="AK16" s="334"/>
      <c r="AL16" s="479"/>
      <c r="AM16" s="335">
        <f>IF(ISNUMBER(Datos!R16),Datos!R16," - ")</f>
        <v>293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243</v>
      </c>
      <c r="BD16" s="229">
        <f>IF(ISNUMBER(Datos!N16),Datos!N16," - ")</f>
        <v>1509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1.0109890109890109</v>
      </c>
      <c r="BH16" s="260">
        <f>IF(ISNUMBER(((IF(D_I="SI",Datos!L16/Datos!K16,(Datos!L16+Datos!AF16)/(Datos!K16+Datos!AE16)))*11)/factor_trimestre),((IF(D_I="SI",Datos!L16/Datos!K16,(Datos!L16+Datos!AF16)/(Datos!K16+Datos!AE16)))*11)/factor_trimestre," - ")</f>
        <v>3.0247826086956522</v>
      </c>
      <c r="BI16" s="243">
        <f>IF(ISNUMBER('Resol  Asuntos'!D16/NºAsuntos!G16),'Resol  Asuntos'!D16/NºAsuntos!G16," - ")</f>
        <v>0.10565217391304348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275</v>
      </c>
      <c r="AC17" s="226">
        <f>IF(ISNUMBER(Datos!Q17),Datos!Q17," - ")</f>
        <v>7</v>
      </c>
      <c r="AD17" s="334"/>
      <c r="AE17" s="484"/>
      <c r="AF17" s="332">
        <f>IF(ISNUMBER(Datos!L17),Datos!L17,"-")</f>
        <v>168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0.70153061224489799</v>
      </c>
      <c r="BH17" s="260">
        <f>IF(ISNUMBER(((IF(D_I="SI",Datos!L17/Datos!K17,(Datos!L17+Datos!AF17)/(Datos!K17+Datos!AE17)))*11)/factor_trimestre),((IF(D_I="SI",Datos!L17/Datos!K17,(Datos!L17+Datos!AF17)/(Datos!K17+Datos!AE17)))*11)/factor_trimestre," - ")</f>
        <v>1.832727272727273</v>
      </c>
      <c r="BI17" s="243">
        <f>IF(ISNUMBER('Resol  Asuntos'!D17/NºAsuntos!G17),'Resol  Asuntos'!D17/NºAsuntos!G17," - ")</f>
        <v>1.4545454545454545E-2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2344</v>
      </c>
      <c r="G18" s="898">
        <f>SUBTOTAL(9,G15:G17)</f>
        <v>2363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2575</v>
      </c>
      <c r="AC18" s="899">
        <f t="shared" si="4"/>
        <v>65</v>
      </c>
      <c r="AD18" s="899">
        <f t="shared" si="4"/>
        <v>0</v>
      </c>
      <c r="AE18" s="899">
        <f t="shared" si="4"/>
        <v>0</v>
      </c>
      <c r="AF18" s="899">
        <f t="shared" si="4"/>
        <v>2487</v>
      </c>
      <c r="AG18" s="899">
        <f t="shared" si="4"/>
        <v>0</v>
      </c>
      <c r="AH18" s="899">
        <f t="shared" si="4"/>
        <v>0</v>
      </c>
      <c r="AI18" s="899">
        <f t="shared" si="4"/>
        <v>0</v>
      </c>
      <c r="AJ18" s="899">
        <f t="shared" si="4"/>
        <v>0</v>
      </c>
      <c r="AK18" s="899">
        <f t="shared" si="4"/>
        <v>0</v>
      </c>
      <c r="AL18" s="899">
        <f t="shared" si="4"/>
        <v>0</v>
      </c>
      <c r="AM18" s="899">
        <f t="shared" si="4"/>
        <v>296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247</v>
      </c>
      <c r="BD18" s="899">
        <f t="shared" si="4"/>
        <v>1710</v>
      </c>
      <c r="BE18" s="899">
        <f t="shared" si="4"/>
        <v>0</v>
      </c>
      <c r="BF18" s="899">
        <f t="shared" si="4"/>
        <v>0</v>
      </c>
      <c r="BG18" s="899">
        <f>IF(ISNUMBER(Datos!K18/Datos!J18),Datos!K18/Datos!J18," - ")</f>
        <v>0.96550431196100484</v>
      </c>
      <c r="BH18" s="903">
        <f>IF(ISNUMBER(((Datos!L18/Datos!K18)*11)/factor_trimestre),((Datos!L18/Datos!K18)*11)/factor_trimestre," - ")</f>
        <v>2.89747572815534</v>
      </c>
      <c r="BI18" s="899">
        <f>SUBTOTAL(9,BI15:BI17)</f>
        <v>0.12019762845849802</v>
      </c>
      <c r="BJ18" s="899">
        <f>SUBTOTAL(9,BJ15:BJ17)</f>
        <v>0</v>
      </c>
      <c r="BK18" s="899">
        <f>SUBTOTAL(9,BK15:BK17)</f>
        <v>0</v>
      </c>
      <c r="BL18" s="899">
        <f>IF(ISNUMBER((I18-AB18+L18)/(F18)),(I18-AB18+L18)/(F18)," - ")</f>
        <v>-1.0985494880546076</v>
      </c>
      <c r="BM18" s="905">
        <f>IF(ISNUMBER((Datos!P18-Datos!Q18)/(Datos!R18-Datos!P18+Datos!Q18)),(Datos!P18-Datos!Q18)/(Datos!R18-Datos!P18+Datos!Q18)," - ")</f>
        <v>-7.4999999999999997E-2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2391</v>
      </c>
      <c r="G19" s="820">
        <f t="shared" si="6"/>
        <v>2410</v>
      </c>
      <c r="H19" s="822">
        <f t="shared" si="6"/>
        <v>0</v>
      </c>
      <c r="I19" s="820">
        <f t="shared" si="6"/>
        <v>0</v>
      </c>
      <c r="J19" s="822">
        <f t="shared" si="6"/>
        <v>0</v>
      </c>
      <c r="K19" s="822">
        <f t="shared" si="6"/>
        <v>0</v>
      </c>
      <c r="L19" s="881">
        <f t="shared" si="6"/>
        <v>0</v>
      </c>
      <c r="M19" s="881">
        <f t="shared" si="6"/>
        <v>0</v>
      </c>
      <c r="N19" s="881">
        <f t="shared" si="6"/>
        <v>156</v>
      </c>
      <c r="O19" s="881">
        <f t="shared" si="6"/>
        <v>0</v>
      </c>
      <c r="P19" s="881">
        <f t="shared" si="6"/>
        <v>0</v>
      </c>
      <c r="Q19" s="822">
        <f t="shared" si="6"/>
        <v>431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2583</v>
      </c>
      <c r="AC19" s="821">
        <f t="shared" si="7"/>
        <v>269</v>
      </c>
      <c r="AD19" s="821">
        <f t="shared" si="7"/>
        <v>0</v>
      </c>
      <c r="AE19" s="821">
        <f t="shared" si="7"/>
        <v>0</v>
      </c>
      <c r="AF19" s="828">
        <f t="shared" si="7"/>
        <v>2540</v>
      </c>
      <c r="AG19" s="828">
        <f t="shared" si="7"/>
        <v>0</v>
      </c>
      <c r="AH19" s="828">
        <f t="shared" si="7"/>
        <v>136</v>
      </c>
      <c r="AI19" s="828">
        <f t="shared" si="7"/>
        <v>0</v>
      </c>
      <c r="AJ19" s="821">
        <f t="shared" si="7"/>
        <v>0</v>
      </c>
      <c r="AK19" s="828">
        <f t="shared" si="7"/>
        <v>0</v>
      </c>
      <c r="AL19" s="828">
        <f t="shared" si="7"/>
        <v>0</v>
      </c>
      <c r="AM19" s="828">
        <f t="shared" si="7"/>
        <v>7195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703</v>
      </c>
      <c r="BD19" s="820">
        <f t="shared" si="7"/>
        <v>2682</v>
      </c>
      <c r="BE19" s="820">
        <f t="shared" si="7"/>
        <v>0</v>
      </c>
      <c r="BF19" s="830">
        <f t="shared" si="7"/>
        <v>0</v>
      </c>
      <c r="BG19" s="915">
        <f>IF(ISNUMBER(Datos!K19/Datos!J19),Datos!K19/Datos!J19," - ")</f>
        <v>0.89075133109840265</v>
      </c>
      <c r="BH19" s="915">
        <f>IF(ISNUMBER(((Datos!L19/Datos!K19)*11)/factor_trimestre),((Datos!L19/Datos!K19)*11)/factor_trimestre," - ")</f>
        <v>6.1268541067079925</v>
      </c>
      <c r="BI19" s="813">
        <f>IF(ISNUMBER(Datos!J19/Datos!I19),Datos!J19/Datos!I19," - ")</f>
        <v>0.58698923486514643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-1.0803011292346298</v>
      </c>
      <c r="BM19" s="889">
        <f>IF(ISNUMBER((Datos!P19-Datos!Q19+R19)/(Datos!R19-Datos!P19+Datos!Q19-R19)),(Datos!P19-Datos!Q19+R19)/(Datos!R19-Datos!P19+Datos!Q19-R19)," - ")</f>
        <v>2.3034267026873313E-2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3.2574700476153438</v>
      </c>
      <c r="F21" s="551">
        <f>IF(ISNUMBER(STDEV(F8:F18)),STDEV(F8:F18),"-")</f>
        <v>1326.1735683285704</v>
      </c>
      <c r="G21" s="552">
        <f>IF(ISNUMBER(STDEV(G8:G18)),STDEV(G8:G18),"-")</f>
        <v>1253.9589307469364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1290.2390088661869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203.2108920965278</v>
      </c>
      <c r="BD21" s="551"/>
      <c r="BE21" s="551">
        <f>IF(ISNUMBER(STDEV(BE8:BE18)),STDEV(BE8:BE18),"-")</f>
        <v>0</v>
      </c>
      <c r="BF21" s="556">
        <f>IF(ISNUMBER(STDEV(BF8:BF18)),STDEV(BF8:BF18),"-")</f>
        <v>0</v>
      </c>
      <c r="BG21" s="775">
        <f>IF(ISNUMBER(STDEV(BG8:BG18)),STDEV(BG8:BG18),"-")</f>
        <v>0.16331278882393288</v>
      </c>
      <c r="BH21" s="776">
        <f>IF(ISNUMBER(STDEV(BH8:BH18)),STDEV(BH8:BH18),"-")</f>
        <v>6.9105249583475716</v>
      </c>
      <c r="BI21" s="249">
        <f>IF(ISNUMBER(STDEV(BI8:BI18)),STDEV(BI8:BI18),"-")</f>
        <v>8.2854756433400206E-2</v>
      </c>
      <c r="BJ21" s="230" t="str">
        <f>IF(ISNUMBER(BL21/BM21),BL21/BM21," - ")</f>
        <v xml:space="preserve"> - </v>
      </c>
      <c r="BK21" s="575"/>
      <c r="BL21" s="559">
        <f>IF(ISNUMBER(STDEV(BL8:BL18)),STDEV(BL8:BL18),"-")</f>
        <v>0.65643319141939371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JZARCbAVus3zqd3uqP8+/HcK7b3nzWjQltXGwxGEEJvxpKT0RbFJtYBLOnSmlpClXeMqG8LqqAmbEUM0dqkZA==" saltValue="FifqHsaNVy4VsKWh/mud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COSLADA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53</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0</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0.29032258064516131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204</v>
      </c>
      <c r="AA12" s="332" t="str">
        <f>IF(ISNUMBER(IF(J_V="SI",Datos!L12,Datos!L12+Datos!AB12)-IF(Monitorios="SI",Datos!CD12,0)),
                          IF(J_V="SI",Datos!L12,Datos!L12+Datos!AB12)-IF(Monitorios="SI",Datos!CD12,0),
                          " - ")</f>
        <v xml:space="preserve"> - </v>
      </c>
      <c r="AB12" s="334"/>
      <c r="AC12" s="334"/>
      <c r="AD12" s="484"/>
      <c r="AE12" s="484">
        <f>IF(ISNUMBER(Datos!R12),Datos!R12," - ")</f>
        <v>6859</v>
      </c>
      <c r="AF12" s="229" t="str">
        <f>IF(ISNUMBER(Datos!BV12),Datos!BV12," - ")</f>
        <v xml:space="preserve"> - </v>
      </c>
      <c r="AG12" s="225" t="str">
        <f>IF(ISNUMBER(Datos!DV12),Datos!DV12," - ")</f>
        <v xml:space="preserve"> - </v>
      </c>
      <c r="AH12" s="298"/>
      <c r="AI12" s="227"/>
      <c r="AJ12" s="225">
        <f>IF(ISNUMBER(Datos!M12),Datos!M12," - ")</f>
        <v>456</v>
      </c>
      <c r="AK12" s="229">
        <f>IF(ISNUMBER(Datos!N12),Datos!N12," - ")</f>
        <v>964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9.7722063037249303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2.6489075127207422E-2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390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204</v>
      </c>
      <c r="AA13" s="900">
        <f t="shared" si="2"/>
        <v>53</v>
      </c>
      <c r="AB13" s="900">
        <f t="shared" si="2"/>
        <v>0</v>
      </c>
      <c r="AC13" s="900">
        <f t="shared" si="2"/>
        <v>0</v>
      </c>
      <c r="AD13" s="900">
        <f t="shared" si="2"/>
        <v>0</v>
      </c>
      <c r="AE13" s="900">
        <f t="shared" si="2"/>
        <v>6899</v>
      </c>
      <c r="AF13" s="908">
        <f t="shared" si="2"/>
        <v>0</v>
      </c>
      <c r="AG13" s="908">
        <f t="shared" si="2"/>
        <v>0</v>
      </c>
      <c r="AH13" s="908">
        <f t="shared" si="2"/>
        <v>0</v>
      </c>
      <c r="AI13" s="908">
        <f t="shared" si="2"/>
        <v>0</v>
      </c>
      <c r="AJ13" s="908">
        <f t="shared" si="2"/>
        <v>456</v>
      </c>
      <c r="AK13" s="908">
        <f t="shared" si="2"/>
        <v>972</v>
      </c>
      <c r="AL13" s="908">
        <f t="shared" si="2"/>
        <v>0</v>
      </c>
      <c r="AM13" s="908">
        <f t="shared" si="2"/>
        <v>0</v>
      </c>
      <c r="AN13" s="908">
        <f t="shared" si="2"/>
        <v>0</v>
      </c>
      <c r="AO13" s="904">
        <f>IF(ISNUMBER(((NºAsuntos!I13/NºAsuntos!G13)*11)/factor_trimestre),((NºAsuntos!I13/NºAsuntos!G13)*11)/factor_trimestre," - ")</f>
        <v>9.8106565176022844</v>
      </c>
      <c r="AP13" s="910" t="str">
        <f>IF(ISNUMBER(Datos!CI13/Datos!CJ13),Datos!CI13/Datos!CJ13," - ")</f>
        <v xml:space="preserve"> - </v>
      </c>
      <c r="AQ13" s="928">
        <f t="shared" ref="AQ13:AV13" si="3">SUBTOTAL(9,AQ9:AQ12)</f>
        <v>0</v>
      </c>
      <c r="AR13" s="928">
        <f t="shared" si="3"/>
        <v>0.31681165577236875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2344</v>
      </c>
      <c r="G16" s="225">
        <f>IF(ISNUMBER(IF(D_I="SI",Datos!I16,Datos!I16+Datos!AC16)),IF(D_I="SI",Datos!I16,Datos!I16+Datos!AC16)," - ")</f>
        <v>2312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2300</v>
      </c>
      <c r="Z16" s="619">
        <f>IF(ISNUMBER(Datos!Q16),Datos!Q16," - ")</f>
        <v>58</v>
      </c>
      <c r="AA16" s="332">
        <f>IF(ISNUMBER(IF(D_I="SI",Datos!L16,Datos!L16+Datos!AF16)),IF(D_I="SI",Datos!L16,Datos!L16+Datos!AF16)," - ")</f>
        <v>2319</v>
      </c>
      <c r="AB16" s="334"/>
      <c r="AC16" s="334"/>
      <c r="AD16" s="484"/>
      <c r="AE16" s="484">
        <f>IF(ISNUMBER(Datos!R16),Datos!R16," - ")</f>
        <v>293</v>
      </c>
      <c r="AF16" s="229" t="str">
        <f>IF(ISNUMBER(Datos!BV16),Datos!BV16," - ")</f>
        <v xml:space="preserve"> - </v>
      </c>
      <c r="AG16" s="225"/>
      <c r="AH16" s="298"/>
      <c r="AI16" s="227"/>
      <c r="AJ16" s="225">
        <f>IF(ISNUMBER(Datos!M16),Datos!M16," - ")</f>
        <v>243</v>
      </c>
      <c r="AK16" s="229">
        <f>IF(ISNUMBER(Datos!N16),Datos!N16," - ")</f>
        <v>1509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3.0247826086956522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275</v>
      </c>
      <c r="Z17" s="619">
        <f>IF(ISNUMBER(Datos!Q17),Datos!Q17," - ")</f>
        <v>7</v>
      </c>
      <c r="AA17" s="332">
        <f>IF(ISNUMBER(Datos!L17),Datos!L17,"-")</f>
        <v>168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v>
      </c>
      <c r="AK17" s="229">
        <f>IF(ISNUMBER(Datos!N17),Datos!N17," - ")</f>
        <v>201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1.832727272727273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2344</v>
      </c>
      <c r="G18" s="898">
        <f>SUBTOTAL(9,G15:G17)</f>
        <v>2363</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2575</v>
      </c>
      <c r="Z18" s="932">
        <f t="shared" si="5"/>
        <v>65</v>
      </c>
      <c r="AA18" s="932">
        <f t="shared" si="5"/>
        <v>2487</v>
      </c>
      <c r="AB18" s="932">
        <f t="shared" si="5"/>
        <v>0</v>
      </c>
      <c r="AC18" s="932">
        <f t="shared" si="5"/>
        <v>0</v>
      </c>
      <c r="AD18" s="932">
        <f t="shared" si="5"/>
        <v>0</v>
      </c>
      <c r="AE18" s="932">
        <f t="shared" si="5"/>
        <v>296</v>
      </c>
      <c r="AF18" s="932">
        <f t="shared" si="5"/>
        <v>0</v>
      </c>
      <c r="AG18" s="932">
        <f t="shared" si="5"/>
        <v>0</v>
      </c>
      <c r="AH18" s="932">
        <f t="shared" si="5"/>
        <v>0</v>
      </c>
      <c r="AI18" s="932">
        <f t="shared" si="5"/>
        <v>0</v>
      </c>
      <c r="AJ18" s="932">
        <f t="shared" si="5"/>
        <v>247</v>
      </c>
      <c r="AK18" s="932">
        <f t="shared" si="5"/>
        <v>1710</v>
      </c>
      <c r="AL18" s="932">
        <f t="shared" si="5"/>
        <v>0</v>
      </c>
      <c r="AM18" s="932">
        <f t="shared" si="5"/>
        <v>0</v>
      </c>
      <c r="AN18" s="932">
        <f t="shared" si="5"/>
        <v>0</v>
      </c>
      <c r="AO18" s="934">
        <f>IF(ISNUMBER(((NºAsuntos!I18/NºAsuntos!G18)*11)/factor_trimestre),((NºAsuntos!I18/NºAsuntos!G18)*11)/factor_trimestre," - ")</f>
        <v>2.89747572815534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2391</v>
      </c>
      <c r="G19" s="820">
        <f t="shared" si="7"/>
        <v>2410</v>
      </c>
      <c r="H19" s="821">
        <f t="shared" si="7"/>
        <v>0</v>
      </c>
      <c r="I19" s="820">
        <f t="shared" si="7"/>
        <v>0</v>
      </c>
      <c r="J19" s="822">
        <f t="shared" si="7"/>
        <v>0</v>
      </c>
      <c r="K19" s="820">
        <f t="shared" si="7"/>
        <v>0</v>
      </c>
      <c r="L19" s="823">
        <f t="shared" si="7"/>
        <v>0</v>
      </c>
      <c r="M19" s="820">
        <f t="shared" si="7"/>
        <v>0</v>
      </c>
      <c r="N19" s="821">
        <f t="shared" si="7"/>
        <v>431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2583</v>
      </c>
      <c r="Z19" s="827">
        <f t="shared" si="8"/>
        <v>269</v>
      </c>
      <c r="AA19" s="828">
        <f t="shared" si="8"/>
        <v>2540</v>
      </c>
      <c r="AB19" s="828">
        <f t="shared" si="8"/>
        <v>0</v>
      </c>
      <c r="AC19" s="828">
        <f t="shared" si="8"/>
        <v>0</v>
      </c>
      <c r="AD19" s="829">
        <f t="shared" si="8"/>
        <v>0</v>
      </c>
      <c r="AE19" s="829">
        <f t="shared" si="8"/>
        <v>7195</v>
      </c>
      <c r="AF19" s="830">
        <f t="shared" si="8"/>
        <v>0</v>
      </c>
      <c r="AG19" s="831">
        <f t="shared" si="8"/>
        <v>0</v>
      </c>
      <c r="AH19" s="832">
        <f t="shared" si="8"/>
        <v>0</v>
      </c>
      <c r="AI19" s="830">
        <f t="shared" si="8"/>
        <v>0</v>
      </c>
      <c r="AJ19" s="820">
        <f t="shared" si="8"/>
        <v>703</v>
      </c>
      <c r="AK19" s="820">
        <f t="shared" si="8"/>
        <v>2682</v>
      </c>
      <c r="AL19" s="820">
        <f t="shared" si="8"/>
        <v>0</v>
      </c>
      <c r="AM19" s="833">
        <f t="shared" si="8"/>
        <v>0</v>
      </c>
      <c r="AN19" s="823">
        <f>IF(ISNUMBER(Datos!K19/Datos!J19),Datos!K19/Datos!J19," - ")</f>
        <v>0.89075133109840265</v>
      </c>
      <c r="AO19" s="823">
        <f>IF(ISNUMBER(FIND("06",Criterios!A8,1)),(IF(ISNUMBER(((Datos!R19/Datos!Q19)*11)/factor_trimestre),((Datos!R19/Datos!Q19)*11)/factor_trimestre," - ")),(IF(ISNUMBER(((Datos!L19/Datos!K19)*11)/factor_trimestre),((Datos!L19/Datos!K19)*11)/factor_trimestre," - ")))</f>
        <v>6.1268541067079925</v>
      </c>
      <c r="AP19" s="834" t="str">
        <f>IF(ISNUMBER(Datos!CI19/Datos!CJ19),Datos!CI19/Datos!CJ19," - ")</f>
        <v xml:space="preserve"> - </v>
      </c>
      <c r="AQ19" s="834">
        <f>IF(OR(ISNUMBER(FIND("01",Criterios!A8,1)),ISNUMBER(FIND("02",Criterios!A8,1)),ISNUMBER(FIND("03",Criterios!A8,1)),ISNUMBER(FIND("04",Criterios!A8,1))),(J19-Y19+K19)/(F19-K19),(I19-Y19+K19)/(F19-K19))</f>
        <v>-1.0803011292346298</v>
      </c>
      <c r="AR19" s="834">
        <f>IF(ISNUMBER((Datos!P19-Datos!Q19+O19)/(Datos!R19-Datos!P19+Datos!Q19-O19)),(Datos!P19-Datos!Q19+O19)/(Datos!R19-Datos!P19+Datos!Q19-O19)," - ")</f>
        <v>2.3034267026873313E-2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1326.1735683285704</v>
      </c>
      <c r="G21" s="552">
        <f>IF(ISNUMBER(STDEV(G8:G18)),STDEV(G8:G18),"-")</f>
        <v>1253.9589307469364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203.2108920965278</v>
      </c>
      <c r="AK21" s="252"/>
      <c r="AL21" s="252">
        <f>IF(ISNUMBER(STDEV(AL8:AL18)),STDEV(AL8:AL18),"-")</f>
        <v>0</v>
      </c>
      <c r="AM21" s="254">
        <f>IF(ISNUMBER(STDEV(AM8:AM18)),STDEV(AM8:AM18),"-")</f>
        <v>0</v>
      </c>
      <c r="AN21" s="539">
        <f>IF(ISNUMBER(STDEV(AN8:AN18)),STDEV(AN8:AN18),"-")</f>
        <v>0</v>
      </c>
      <c r="AO21" s="540">
        <f>IF(ISNUMBER(STDEV(AO8:AO18)),STDEV(AO8:AO18),"-")</f>
        <v>6.8724863652631552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ByVKDH1JREZHHdMcf14tPulIl1n8EoeurqggwDEUkhBPK1ZwZ9q4SEUwIRP4Dt9+YaawLtSbyOtDSIGr7dHg==" saltValue="WRuZr33zB4Er32dAM+HB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WryjQatCqng/+TTMP97P2yXdQBknW8rQTnX2O0ZmpYsN/fIrG9QEDDi9mWfsLjlfMN1uJUeT7N01G63MfRUOQ==" saltValue="brveLbZ5yg3dmkJSxmmj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SBXhM0K32DqR6qhrJo37vkrlfHX+9/MEwTc3KMk5+4HqQ+5LLcN4N2AebnH6jd4g6E2Ngdky/kcN/7pz0DyA==" saltValue="ZJURKVG426vw07PlDaZ3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0.21693625118934348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0.15339709430117301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EJdsMnXNRJlnQUVqNaXnaeu7ivR8WQo4n8MxMkbvUOXEKMOm1xjtYrQSwVD9hbOhii4VIZhnqUvenvpBNYAbA==" saltValue="t6oh6sL4f20DbTf4mdVq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WCmhbe1ZFAeO8dhs+BuCW+9mn1v4H9VQvfTFTBg3zA6UuEGGnUkBoitu/klqV43kBmnCt/a+XL/DWqADo7erw==" saltValue="5mplVpud/BH8SVswvlrR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COSLADA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14</v>
      </c>
      <c r="F10" s="404">
        <f>IF(ISNUMBER(E10/B10),E10/B10," - ")</f>
        <v>14</v>
      </c>
      <c r="G10" s="403">
        <f>IF(ISNUMBER(Datos!K10),Datos!K10," - ")</f>
        <v>8</v>
      </c>
      <c r="H10" s="404">
        <f>IF(ISNUMBER(G10/B10),G10/B10," - ")</f>
        <v>8</v>
      </c>
      <c r="I10" s="403">
        <f>IF(ISNUMBER(Datos!L10),Datos!L10," - ")</f>
        <v>53</v>
      </c>
      <c r="J10" s="404">
        <f>IF(ISNUMBER(I10/B10),I10/B10," - ")</f>
        <v>53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6369</v>
      </c>
      <c r="D12" s="404">
        <f>IF(ISNUMBER(C12/Datos!BH12),C12/Datos!BH12," - ")</f>
        <v>1061.5</v>
      </c>
      <c r="E12" s="403">
        <f>IF(ISNUMBER(IF(J_V="SI",Datos!J12,Datos!J12+Datos!Z12)),IF(J_V="SI",Datos!J12,Datos!J12+Datos!Z12)," - ")</f>
        <v>2546</v>
      </c>
      <c r="F12" s="404">
        <f>IF(ISNUMBER(E12/B12),E12/B12," - ")</f>
        <v>424.33333333333331</v>
      </c>
      <c r="G12" s="403">
        <f>IF(ISNUMBER(IF(J_V="SI",Datos!K12,Datos!K12+Datos!AA12)),IF(J_V="SI",Datos!K12,Datos!K12+Datos!AA12)," - ")</f>
        <v>2094</v>
      </c>
      <c r="H12" s="404">
        <f>IF(ISNUMBER(G12/B12),G12/B12," - ")</f>
        <v>349</v>
      </c>
      <c r="I12" s="403">
        <f>IF(ISNUMBER(IF(J_V="SI",Datos!L12,Datos!L12+Datos!AB12)),IF(J_V="SI",Datos!L12,Datos!L12+Datos!AB12)," - ")</f>
        <v>6821</v>
      </c>
      <c r="J12" s="404">
        <f>IF(ISNUMBER(I12/B12),I12/B12," - ")</f>
        <v>1136.8333333333333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6416</v>
      </c>
      <c r="D13" s="850" t="str">
        <f>IF(ISNUMBER(C13/Datos!BI13),C13/Datos!BI13," - ")</f>
        <v xml:space="preserve"> - </v>
      </c>
      <c r="E13" s="849">
        <f>SUBTOTAL(9,E8:E12)</f>
        <v>2560</v>
      </c>
      <c r="F13" s="850">
        <f>IF(ISNUMBER(E13/B13),E13/B13," - ")</f>
        <v>365.71428571428572</v>
      </c>
      <c r="G13" s="849">
        <f>SUBTOTAL(9,G8:G12)</f>
        <v>2102</v>
      </c>
      <c r="H13" s="850">
        <f>IF(ISNUMBER(G13/B13),G13/B13," - ")</f>
        <v>300.28571428571428</v>
      </c>
      <c r="I13" s="849">
        <f>SUBTOTAL(9,I8:I12)</f>
        <v>6874</v>
      </c>
      <c r="J13" s="850">
        <f>IF(ISNUMBER(I13/B13),I13/B13," - ")</f>
        <v>982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2312</v>
      </c>
      <c r="D16" s="404">
        <f>IF(ISNUMBER(C16/Datos!BH16),C16/Datos!BH16," - ")</f>
        <v>385.33333333333331</v>
      </c>
      <c r="E16" s="403">
        <f>IF(ISNUMBER(IF(D_I="SI",Datos!J16,Datos!J16+Datos!AD16)),IF(D_I="SI",Datos!J16,Datos!J16+Datos!AD16)," - ")</f>
        <v>2275</v>
      </c>
      <c r="F16" s="404">
        <f>IF(ISNUMBER(E16/B16),E16/B16," - ")</f>
        <v>379.16666666666669</v>
      </c>
      <c r="G16" s="403">
        <f>IF(ISNUMBER(IF(D_I="SI",Datos!K16,Datos!K16+Datos!AE16)),IF(D_I="SI",Datos!K16,Datos!K16+Datos!AE16)," - ")</f>
        <v>2300</v>
      </c>
      <c r="H16" s="404">
        <f>IF(ISNUMBER(G16/B16),G16/B16," - ")</f>
        <v>383.33333333333331</v>
      </c>
      <c r="I16" s="403">
        <f>IF(ISNUMBER(IF(D_I="SI",Datos!L16,Datos!L16+Datos!AF16)),IF(D_I="SI",Datos!L16,Datos!L16+Datos!AF16)," - ")</f>
        <v>2319</v>
      </c>
      <c r="J16" s="404">
        <f>IF(ISNUMBER(I16/B16),I16/B16," - ")</f>
        <v>386.5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392</v>
      </c>
      <c r="F17" s="404">
        <f>IF(ISNUMBER(E17/B17),E17/B17," - ")</f>
        <v>392</v>
      </c>
      <c r="G17" s="403">
        <f>IF(ISNUMBER(IF(D_I="SI",Datos!K17,Datos!K17+Datos!AE17)),IF(D_I="SI",Datos!K17,Datos!K17+Datos!AE17)," - ")</f>
        <v>275</v>
      </c>
      <c r="H17" s="404">
        <f>IF(ISNUMBER(G17/B17),G17/B17," - ")</f>
        <v>275</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2363</v>
      </c>
      <c r="D18" s="850" t="str">
        <f>IF(ISNUMBER(C18/Datos!BI18),C18/Datos!BI18," - ")</f>
        <v xml:space="preserve"> - </v>
      </c>
      <c r="E18" s="849">
        <f>SUBTOTAL(9,E14:E17)</f>
        <v>2667</v>
      </c>
      <c r="F18" s="850">
        <f>IF(ISNUMBER(E18/B18),E18/B18," - ")</f>
        <v>381</v>
      </c>
      <c r="G18" s="849">
        <f>SUBTOTAL(9,G14:G17)</f>
        <v>2575</v>
      </c>
      <c r="H18" s="850">
        <f>IF(ISNUMBER(G18/B18),G18/B18," - ")</f>
        <v>367.85714285714283</v>
      </c>
      <c r="I18" s="849">
        <f>SUBTOTAL(9,I14:I17)</f>
        <v>2487</v>
      </c>
      <c r="J18" s="850">
        <f>IF(ISNUMBER(I18/B18),I18/B18," - ")</f>
        <v>355.28571428571428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8779</v>
      </c>
      <c r="D19" s="795" t="str">
        <f>IF(ISNUMBER(C19/Datos!BI19),C19/Datos!BI19," - ")</f>
        <v xml:space="preserve"> - </v>
      </c>
      <c r="E19" s="794">
        <f>SUBTOTAL(9,E9:E18)</f>
        <v>5227</v>
      </c>
      <c r="F19" s="795">
        <f>IF(ISNUMBER(E19/B19),E19/B19," - ")</f>
        <v>746.71428571428567</v>
      </c>
      <c r="G19" s="794">
        <f>SUBTOTAL(9,G9:G18)</f>
        <v>4677</v>
      </c>
      <c r="H19" s="795">
        <f>IF(ISNUMBER(G19/B19),G19/B19," - ")</f>
        <v>668.14285714285711</v>
      </c>
      <c r="I19" s="794">
        <f>SUBTOTAL(9,I9:I18)</f>
        <v>9361</v>
      </c>
      <c r="J19" s="795">
        <f>IF(ISNUMBER(I19/B19),I19/B19," - ")</f>
        <v>1337.2857142857142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4unq6D5+xPoB9rRWE8Rxt2VlcwD0Ilc0JcsbwpW1vTRf2zAW5B0+a4M9h+TV1DoqeieQuLVub8M45SUth/3Cw==" saltValue="qHxtJHBP4bszXRI72mBy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COSLADA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53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19.875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456</v>
      </c>
      <c r="AM12" s="690">
        <f>IF(ISNUMBER(Datos!N12+DatosP!N16),Datos!N12+DatosP!N16," - ")</f>
        <v>964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9.7722063037249303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2.6489075127207422E-2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390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204</v>
      </c>
      <c r="AE13" s="939">
        <f t="shared" si="1"/>
        <v>0</v>
      </c>
      <c r="AF13" s="939">
        <f t="shared" si="1"/>
        <v>53</v>
      </c>
      <c r="AG13" s="939">
        <f t="shared" si="1"/>
        <v>0</v>
      </c>
      <c r="AH13" s="939">
        <f t="shared" si="1"/>
        <v>6859</v>
      </c>
      <c r="AI13" s="939">
        <f t="shared" si="1"/>
        <v>0</v>
      </c>
      <c r="AJ13" s="939">
        <f t="shared" si="1"/>
        <v>0</v>
      </c>
      <c r="AK13" s="939">
        <f t="shared" si="1"/>
        <v>0</v>
      </c>
      <c r="AL13" s="939">
        <f t="shared" si="1"/>
        <v>456</v>
      </c>
      <c r="AM13" s="939">
        <f t="shared" si="1"/>
        <v>972</v>
      </c>
      <c r="AN13" s="939">
        <f t="shared" si="1"/>
        <v>0</v>
      </c>
      <c r="AO13" s="939">
        <f t="shared" si="1"/>
        <v>0</v>
      </c>
      <c r="AP13" s="944">
        <f>IF(ISNUMBER(((Datos!L13/Datos!K13)*11)/factor_trimestre),((Datos!L13/Datos!K13)*11)/factor_trimestre," - ")</f>
        <v>10.40885684860968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-0.1702127659574468</v>
      </c>
      <c r="AU13" s="939" t="str">
        <f>IF(ISNUMBER((DatosP!#REF!-DatosP!#REF!+DatosP!#REF!)/(DatosP!#REF!+DatosP!#REF!-DatosP!#REF!-DatosP!#REF!)),(DatosP!#REF!-DatosP!#REF!+DatosP!#REF!)/(DatosP!#REF!+DatosP!#REF!-DatosP!#REF!-DatosP!#REF!)," - ")</f>
        <v xml:space="preserve"> - </v>
      </c>
      <c r="AV13" s="945">
        <f>SUBTOTAL(9,AV9:AV12)</f>
        <v>2.6489075127207422E-2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2.89747572815534</v>
      </c>
      <c r="AQ18" s="944">
        <f>IF(ISNUMBER(((Datos!M18/Datos!L18)*11)/factor_trimestre),((Datos!M18/Datos!L18)*11)/factor_trimestre," - ")</f>
        <v>0.29794933655006034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-7.4999999999999997E-2</v>
      </c>
      <c r="AW18" s="946">
        <f>IF(ISNUMBER((Datos!Q18-Datos!R18)/(Datos!S18-Datos!Q18+Datos!R18)),(Datos!Q18-Datos!R18)/(Datos!S18-Datos!Q18+Datos!R18)," - ")</f>
        <v>-0.11251826595226498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390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204</v>
      </c>
      <c r="AE19" s="957">
        <f t="shared" si="5"/>
        <v>0</v>
      </c>
      <c r="AF19" s="958">
        <f t="shared" si="5"/>
        <v>53</v>
      </c>
      <c r="AG19" s="958">
        <f t="shared" si="5"/>
        <v>0</v>
      </c>
      <c r="AH19" s="958">
        <f t="shared" si="5"/>
        <v>6859</v>
      </c>
      <c r="AI19" s="958">
        <f t="shared" si="5"/>
        <v>0</v>
      </c>
      <c r="AJ19" s="959">
        <f t="shared" si="5"/>
        <v>0</v>
      </c>
      <c r="AK19" s="959">
        <f t="shared" si="5"/>
        <v>0</v>
      </c>
      <c r="AL19" s="951">
        <f t="shared" si="5"/>
        <v>456</v>
      </c>
      <c r="AM19" s="951">
        <f t="shared" si="5"/>
        <v>972</v>
      </c>
      <c r="AN19" s="951">
        <f t="shared" si="5"/>
        <v>0</v>
      </c>
      <c r="AO19" s="951">
        <f t="shared" si="5"/>
        <v>0</v>
      </c>
      <c r="AP19" s="951">
        <f>IF(ISNUMBER(((Datos!L19/Datos!K19)*11)/factor_trimestre),((Datos!L19/Datos!K19)*11)/factor_trimestre," - ")</f>
        <v>6.1268541067079925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-0.1702127659574468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2.3034267026873313E-2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263.27172275046934</v>
      </c>
      <c r="AM21" s="736"/>
      <c r="AN21" s="736">
        <f>IF(ISNUMBER(STDEV(AN8:AN18)),STDEV(AN8:AN18),"-")</f>
        <v>0</v>
      </c>
      <c r="AO21" s="742">
        <f>IF(ISNUMBER(STDEV(AO8:AO18)),STDEV(AO8:AO18),"-")</f>
        <v>0</v>
      </c>
      <c r="AP21" s="779">
        <f>IF(ISNUMBER(STDEV(AP8:AP18)),STDEV(AP8:AP18),"-")</f>
        <v>6.976142246810884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x/+7LIVlpyAiU3gXcXJ7ZCu1b0abezfDgGfhA4REa5d/jRQQdD6LEtxj5QezaXlbK69EO3+topyEJ+PasJcnQ==" saltValue="f1rTo4kNi8qthAtKLIsL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COSLADA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8dKheg5qu+ZC57OpY8GzzyHM8GJm9Pc4xyy7ZtT49wEM3gznJN2SSb3xSFM9BmIcb+9Pt8ZTWyxdTKvpfnAJw==" saltValue="+yad7LwqdAP35095DZI7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COSLADA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0</v>
      </c>
      <c r="E10" s="404">
        <f>IF(ISNUMBER(D10/B10),D10/B10," - ")</f>
        <v>0</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456</v>
      </c>
      <c r="E12" s="404">
        <f t="shared" si="0"/>
        <v>76</v>
      </c>
      <c r="F12" s="403">
        <f>IF(ISNUMBER(Datos!N12),Datos!N12," - ")</f>
        <v>964</v>
      </c>
      <c r="G12" s="404">
        <f t="shared" si="1"/>
        <v>160.66666666666666</v>
      </c>
      <c r="H12" s="403">
        <f>IF(ISNUMBER(Datos!O12),Datos!O12," - ")</f>
        <v>789</v>
      </c>
      <c r="I12" s="404">
        <f t="shared" si="2"/>
        <v>131.5</v>
      </c>
      <c r="BZ12" s="1186">
        <f>Datos!EZ12</f>
        <v>0</v>
      </c>
    </row>
    <row r="13" spans="1:78" ht="14.25" thickTop="1" thickBot="1">
      <c r="A13" s="848" t="str">
        <f>Datos!A13</f>
        <v>TOTAL</v>
      </c>
      <c r="B13" s="849">
        <f>Datos!AP13</f>
        <v>7</v>
      </c>
      <c r="C13" s="851">
        <f>Datos!AR13</f>
        <v>7</v>
      </c>
      <c r="D13" s="849">
        <f>SUBTOTAL(9,D9:D12)</f>
        <v>456</v>
      </c>
      <c r="E13" s="850">
        <f t="shared" si="0"/>
        <v>65.142857142857139</v>
      </c>
      <c r="F13" s="849">
        <f>SUBTOTAL(9,F9:F12)</f>
        <v>972</v>
      </c>
      <c r="G13" s="850">
        <f t="shared" si="1"/>
        <v>138.85714285714286</v>
      </c>
      <c r="H13" s="849">
        <f>SUBTOTAL(9,H9:H12)</f>
        <v>789</v>
      </c>
      <c r="I13" s="850">
        <f>IF(ISNUMBER(H13/B13),H13/B13," - ")</f>
        <v>112.71428571428571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243</v>
      </c>
      <c r="E16" s="404">
        <f t="shared" si="3"/>
        <v>40.5</v>
      </c>
      <c r="F16" s="403">
        <f>IF(ISNUMBER(Datos!N16),Datos!N16," - ")</f>
        <v>1509</v>
      </c>
      <c r="G16" s="404">
        <f t="shared" si="4"/>
        <v>251.5</v>
      </c>
      <c r="H16" s="403">
        <f>IF(ISNUMBER(Datos!O16),Datos!O16," - ")</f>
        <v>9</v>
      </c>
      <c r="I16" s="404">
        <f t="shared" si="5"/>
        <v>1.5</v>
      </c>
      <c r="BZ16" s="1186">
        <f>Datos!EZ16</f>
        <v>0</v>
      </c>
    </row>
    <row r="17" spans="1:78" ht="13.5" thickBot="1">
      <c r="A17" s="402" t="str">
        <f>Datos!A17</f>
        <v>Jdos. Violencia contra la mujer</v>
      </c>
      <c r="B17" s="427">
        <f>Datos!AO17</f>
        <v>1</v>
      </c>
      <c r="C17" s="428">
        <f>Datos!AQ17</f>
        <v>1</v>
      </c>
      <c r="D17" s="403">
        <f>IF(ISNUMBER(Datos!M17),Datos!M17," - ")</f>
        <v>4</v>
      </c>
      <c r="E17" s="404">
        <f>IF(ISNUMBER(D17/B17),D17/B17," - ")</f>
        <v>4</v>
      </c>
      <c r="F17" s="403">
        <f>IF(ISNUMBER(Datos!N17),Datos!N17," - ")</f>
        <v>201</v>
      </c>
      <c r="G17" s="404">
        <f>IF(ISNUMBER(F17/B17),F17/B17," - ")</f>
        <v>201</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247</v>
      </c>
      <c r="E18" s="850">
        <f t="shared" si="3"/>
        <v>35.285714285714285</v>
      </c>
      <c r="F18" s="849">
        <f>SUBTOTAL(9,F15:F17)</f>
        <v>1710</v>
      </c>
      <c r="G18" s="850">
        <f t="shared" si="4"/>
        <v>244.28571428571428</v>
      </c>
      <c r="H18" s="849">
        <f>SUBTOTAL(9,H15:H17)</f>
        <v>9</v>
      </c>
      <c r="I18" s="850">
        <f>IF(ISNUMBER(H18/B18),H18/B18," - ")</f>
        <v>1.2857142857142858</v>
      </c>
      <c r="BZ18" s="1186"/>
    </row>
    <row r="19" spans="1:78" ht="14.25" thickTop="1" thickBot="1">
      <c r="A19" s="793" t="str">
        <f>Datos!A19</f>
        <v>TOTAL JURISDICCIONES</v>
      </c>
      <c r="B19" s="794">
        <f>Datos!AP19</f>
        <v>7</v>
      </c>
      <c r="C19" s="794">
        <f>Datos!AR19</f>
        <v>7</v>
      </c>
      <c r="D19" s="794">
        <f>SUBTOTAL(9,D8:D18)</f>
        <v>703</v>
      </c>
      <c r="E19" s="795">
        <f>IF(ISNUMBER(D19/B19),D19/B19," - ")</f>
        <v>100.42857142857143</v>
      </c>
      <c r="F19" s="794">
        <f>SUBTOTAL(9,F8:F18)</f>
        <v>2682</v>
      </c>
      <c r="G19" s="795">
        <f>IF(ISNUMBER(F19/B19),F19/B19," - ")</f>
        <v>383.14285714285717</v>
      </c>
      <c r="H19" s="794">
        <f>SUBTOTAL(9,H8:H18)</f>
        <v>798</v>
      </c>
      <c r="I19" s="795">
        <f>IF(ISNUMBER(H19/B19),H19/B19," - ")</f>
        <v>114</v>
      </c>
    </row>
    <row r="22" spans="1:78">
      <c r="A22" s="391" t="str">
        <f>Criterios!A4</f>
        <v>Fecha Informe: 24 sep. 2024</v>
      </c>
    </row>
    <row r="27" spans="1:78">
      <c r="A27" s="414"/>
    </row>
  </sheetData>
  <sheetProtection algorithmName="SHA-512" hashValue="nPTDeQLgyZPcT3Bb+O7eO/Bqs46i1a5KtF7th/BKES699HWQn4MZnIb80HiFsAYdfcfx/4armDQSLbqEKBdtmA==" saltValue="xScaR3IUXcqYB9Ord+wh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COSLADA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0</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381</v>
      </c>
      <c r="C12" s="434">
        <f>IF(ISNUMBER(Datos!Q12),Datos!Q12," - ")</f>
        <v>204</v>
      </c>
      <c r="D12" s="408">
        <f>IF(ISNUMBER(Datos!R12),Datos!R12," - ")</f>
        <v>6859</v>
      </c>
    </row>
    <row r="13" spans="1:4" ht="14.25" thickTop="1" thickBot="1">
      <c r="A13" s="848" t="str">
        <f>Datos!A13</f>
        <v>TOTAL</v>
      </c>
      <c r="B13" s="849">
        <f>SUBTOTAL(9,B9:B12)</f>
        <v>390</v>
      </c>
      <c r="C13" s="853">
        <f>SUBTOTAL(9,C9:C12)</f>
        <v>204</v>
      </c>
      <c r="D13" s="851">
        <f>SUBTOTAL(9,D9:D12)</f>
        <v>6899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58</v>
      </c>
      <c r="D16" s="408">
        <f>IF(ISNUMBER(Datos!R16),Datos!R16," - ")</f>
        <v>293</v>
      </c>
    </row>
    <row r="17" spans="1:4" ht="13.5" thickBot="1">
      <c r="A17" s="402" t="str">
        <f>Datos!A17</f>
        <v>Jdos. Violencia contra la mujer</v>
      </c>
      <c r="B17" s="433">
        <f>IF(ISNUMBER(Datos!P17),Datos!P17," - ")</f>
        <v>0</v>
      </c>
      <c r="C17" s="434">
        <f>IF(ISNUMBER(Datos!Q17),Datos!Q17," - ")</f>
        <v>7</v>
      </c>
      <c r="D17" s="408">
        <f>IF(ISNUMBER(Datos!R17),Datos!R17," - ")</f>
        <v>3</v>
      </c>
    </row>
    <row r="18" spans="1:4" ht="14.25" thickTop="1" thickBot="1">
      <c r="A18" s="848" t="str">
        <f>Datos!A18</f>
        <v>TOTAL</v>
      </c>
      <c r="B18" s="849">
        <f>SUBTOTAL(9,B15:B17)</f>
        <v>41</v>
      </c>
      <c r="C18" s="853">
        <f>SUBTOTAL(9,C15:C17)</f>
        <v>65</v>
      </c>
      <c r="D18" s="851">
        <f>SUBTOTAL(9,D15:D17)</f>
        <v>296</v>
      </c>
    </row>
    <row r="19" spans="1:4" ht="16.5" customHeight="1" thickTop="1" thickBot="1">
      <c r="A19" s="793" t="str">
        <f>Datos!A19</f>
        <v>TOTAL JURISDICCIONES</v>
      </c>
      <c r="B19" s="798">
        <f>SUBTOTAL(9,B8:B18)</f>
        <v>431</v>
      </c>
      <c r="C19" s="799">
        <f>SUBTOTAL(9,C8:C18)</f>
        <v>269</v>
      </c>
      <c r="D19" s="800">
        <f>SUBTOTAL(9,D8:D18)</f>
        <v>7195</v>
      </c>
    </row>
    <row r="20" spans="1:4" ht="7.5" customHeight="1"/>
    <row r="21" spans="1:4" ht="6" customHeight="1"/>
    <row r="22" spans="1:4">
      <c r="A22" s="391" t="str">
        <f>Criterios!A4</f>
        <v>Fecha Informe: 24 sep. 2024</v>
      </c>
    </row>
    <row r="27" spans="1:4">
      <c r="A27" s="414"/>
    </row>
  </sheetData>
  <sheetProtection algorithmName="SHA-512" hashValue="z0XNqxUFXmZzO+bn64eLJQ+MV+NflSqJHcKjwp1/D/lk8wWksKzoXjuvfJFk+/ueG66OLafha4LmsvINCJvSYg==" saltValue="Oykn5DPvEVzYJTaJUvoU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COSLADA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1.35</v>
      </c>
      <c r="C10" s="456">
        <f>IF(ISNUMBER((Datos!J10-Datos!T10)/Datos!T10),(Datos!J10-Datos!T10)/Datos!T10," - ")</f>
        <v>0</v>
      </c>
      <c r="D10" s="456">
        <f>IF(ISNUMBER((Datos!K10-Datos!U10)/Datos!U10),(Datos!K10-Datos!U10)/Datos!U10," - ")</f>
        <v>-0.5</v>
      </c>
      <c r="E10" s="456">
        <f>IF(ISNUMBER((Datos!L10-Datos!V10)/Datos!V10),(Datos!L10-Datos!V10)/Datos!V10," - ")</f>
        <v>1.9444444444444444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4.8888888888888893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2.5882352941176472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0.49156908665105387</v>
      </c>
      <c r="C12" s="456">
        <f>IF(ISNUMBER(
   IF(J_V="SI",(Datos!J12-Datos!T12)/Datos!T12,(Datos!J12+Datos!Z12-(Datos!T12+Datos!AH12))/(Datos!T12+Datos!AH12))
     ),IF(J_V="SI",(Datos!J12-Datos!T12)/Datos!T12,(Datos!J12+Datos!Z12-(Datos!T12+Datos!AH12))/(Datos!T12+Datos!AH12))," - ")</f>
        <v>6.8401174989509025E-2</v>
      </c>
      <c r="D12" s="456">
        <f>IF(ISNUMBER(
   IF(J_V="SI",(Datos!K12-Datos!U12)/Datos!U12,(Datos!K12+Datos!AA12-(Datos!U12+Datos!AI12))/(Datos!U12+Datos!AI12))
     ),IF(J_V="SI",(Datos!K12-Datos!U12)/Datos!U12,(Datos!K12+Datos!AA12-(Datos!U12+Datos!AI12))/(Datos!U12+Datos!AI12))," - ")</f>
        <v>0.45214979195561722</v>
      </c>
      <c r="E12" s="456">
        <f>IF(ISNUMBER(
   IF(J_V="SI",(Datos!L12-Datos!V12)/Datos!V12,(Datos!L12+Datos!AB12-(Datos!V12+Datos!AJ12))/(Datos!V12+Datos!AJ12))
     ),IF(J_V="SI",(Datos!L12-Datos!V12)/Datos!V12,(Datos!L12+Datos!AB12-(Datos!V12+Datos!AJ12))/(Datos!V12+Datos!AJ12))," - ")</f>
        <v>0.30896181155248514</v>
      </c>
      <c r="F12" s="456">
        <f>IF(ISNUMBER((Datos!M12-Datos!W12)/Datos!W12),(Datos!M12-Datos!W12)/Datos!W12," - ")</f>
        <v>0.58885017421602792</v>
      </c>
      <c r="G12" s="457">
        <f>IF(ISNUMBER((Datos!N12-Datos!X12)/Datos!X12),(Datos!N12-Datos!X12)/Datos!X12," - ")</f>
        <v>0.29744279946164198</v>
      </c>
      <c r="H12" s="455">
        <f>IF(ISNUMBER(((NºAsuntos!G12/NºAsuntos!E12)-Datos!BD12)/Datos!BD12),((NºAsuntos!G12/NºAsuntos!E12)-Datos!BD12)/Datos!BD12," - ")</f>
        <v>0.35918026481941706</v>
      </c>
      <c r="I12" s="456">
        <f>IF(ISNUMBER(((NºAsuntos!I12/NºAsuntos!G12)-Datos!BE12)/Datos!BE12),((NºAsuntos!I12/NºAsuntos!G12)-Datos!BE12)/Datos!BE12," - ")</f>
        <v>-9.8604139322500631E-2</v>
      </c>
      <c r="J12" s="461">
        <f>IF(ISNUMBER((('Resol  Asuntos'!D12/NºAsuntos!G12)-Datos!BF12)/Datos!BF12),(('Resol  Asuntos'!D12/NºAsuntos!G12)-Datos!BF12)/Datos!BF12," - ")</f>
        <v>-0.57736582506449885</v>
      </c>
      <c r="K12" s="462">
        <f>IF(ISNUMBER((((NºAsuntos!C12+NºAsuntos!E12)/NºAsuntos!G12)-Datos!BG12)/Datos!BG12),(((NºAsuntos!C12+NºAsuntos!E12)/NºAsuntos!G12)-Datos!BG12)/Datos!BG12," - ")</f>
        <v>-7.7232251617248074E-2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0.49557109557109558</v>
      </c>
      <c r="C13" s="855">
        <f>IF(ISNUMBER(
   IF(J_V="SI",(Datos!J13-Datos!T13)/Datos!T13,(Datos!J13+Datos!Z13-(Datos!T13+Datos!AH13))/(Datos!T13+Datos!AH13))
     ),IF(J_V="SI",(Datos!J13-Datos!T13)/Datos!T13,(Datos!J13+Datos!Z13-(Datos!T13+Datos!AH13))/(Datos!T13+Datos!AH13))," - ")</f>
        <v>6.8001668752607422E-2</v>
      </c>
      <c r="D13" s="855">
        <f>IF(ISNUMBER(
   IF(J_V="SI",(Datos!K13-Datos!U13)/Datos!U13,(Datos!K13+Datos!AA13-(Datos!U13+Datos!AI13))/(Datos!U13+Datos!AI13))
     ),IF(J_V="SI",(Datos!K13-Datos!U13)/Datos!U13,(Datos!K13+Datos!AA13-(Datos!U13+Datos!AI13))/(Datos!U13+Datos!AI13))," - ")</f>
        <v>0.44170096021947874</v>
      </c>
      <c r="E13" s="855">
        <f>IF(ISNUMBER(
   IF(J_V="SI",(Datos!L13-Datos!V13)/Datos!V13,(Datos!L13+Datos!AB13-(Datos!V13+Datos!AJ13))/(Datos!V13+Datos!AJ13))
     ),IF(J_V="SI",(Datos!L13-Datos!V13)/Datos!V13,(Datos!L13+Datos!AB13-(Datos!V13+Datos!AJ13))/(Datos!V13+Datos!AJ13))," - ")</f>
        <v>0.31459170013386883</v>
      </c>
      <c r="F13" s="856">
        <f>IF(ISNUMBER((Datos!M13-Datos!W13)/Datos!W13),(Datos!M13-Datos!W13)/Datos!W13," - ")</f>
        <v>0.58885017421602792</v>
      </c>
      <c r="G13" s="857">
        <f>IF(ISNUMBER((Datos!N13-Datos!X13)/Datos!X13),(Datos!N13-Datos!X13)/Datos!X13," - ")</f>
        <v>0.3082099596231494</v>
      </c>
      <c r="H13" s="857">
        <f>IF(ISNUMBER(((NºAsuntos!G13/NºAsuntos!E13)-Datos!BD13)/Datos!BD13),((NºAsuntos!G13/NºAsuntos!E13)-Datos!BD13)/Datos!BD13," - ")</f>
        <v>0.34990515689300405</v>
      </c>
      <c r="I13" s="857">
        <f>IF(ISNUMBER(((NºAsuntos!I13/NºAsuntos!G13)-Datos!BE13)/Datos!BE13),((NºAsuntos!I13/NºAsuntos!G13)-Datos!BE13)/Datos!BE13," - ")</f>
        <v>-8.8166175644538172E-2</v>
      </c>
      <c r="J13" s="857">
        <f>IF(ISNUMBER((('Resol  Asuntos'!D13/NºAsuntos!G13)-Datos!BF13)/Datos!BF13),(('Resol  Asuntos'!D13/NºAsuntos!G13)-Datos!BF13)/Datos!BF13," - ")</f>
        <v>-0.57430275338618741</v>
      </c>
      <c r="K13" s="857">
        <f>IF(ISNUMBER((((NºAsuntos!C13+NºAsuntos!E13)/NºAsuntos!G13)-Datos!BG13)/Datos!BG13),(((NºAsuntos!C13+NºAsuntos!E13)/NºAsuntos!G13)-Datos!BG13)/Datos!BG13," - ")</f>
        <v>-6.8942864131193465E-2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0.29234209055338178</v>
      </c>
      <c r="C16" s="456">
        <f>IF(ISNUMBER(
   IF(D_I="SI",(Datos!J16-Datos!T16)/Datos!T16,(Datos!J16+Datos!AD16-(Datos!T16+Datos!AL16))/(Datos!T16+Datos!AL16))
     ),IF(D_I="SI",(Datos!J16-Datos!T16)/Datos!T16,(Datos!J16+Datos!AD16-(Datos!T16+Datos!AL16))/(Datos!T16+Datos!AL16))," - ")</f>
        <v>2.9877772747849706E-2</v>
      </c>
      <c r="D16" s="456">
        <f>IF(ISNUMBER(
   IF(D_I="SI",(Datos!K16-Datos!U16)/Datos!U16,(Datos!K16+Datos!AE16-(Datos!U16+Datos!AM16))/(Datos!U16+Datos!AM16))
     ),IF(D_I="SI",(Datos!K16-Datos!U16)/Datos!U16,(Datos!K16+Datos!AE16-(Datos!U16+Datos!AM16))/(Datos!U16+Datos!AM16))," - ")</f>
        <v>7.9305490380103233E-2</v>
      </c>
      <c r="E16" s="456">
        <f>IF(ISNUMBER(
   IF(D_I="SI",(Datos!L16-Datos!V16)/Datos!V16,(Datos!L16+Datos!AF16-(Datos!V16+Datos!AN16))/(Datos!V16+Datos!AN16))
     ),IF(D_I="SI",(Datos!L16-Datos!V16)/Datos!V16,(Datos!L16+Datos!AF16-(Datos!V16+Datos!AN16))/(Datos!V16+Datos!AN16))," - ")</f>
        <v>0.3191126279863481</v>
      </c>
      <c r="F16" s="456">
        <f>IF(ISNUMBER((Datos!M16-Datos!W16)/Datos!W16),(Datos!M16-Datos!W16)/Datos!W16," - ")</f>
        <v>3.8461538461538464E-2</v>
      </c>
      <c r="G16" s="457">
        <f>IF(ISNUMBER((Datos!N16-Datos!X16)/Datos!X16),(Datos!N16-Datos!X16)/Datos!X16," - ")</f>
        <v>7.4021352313167255E-2</v>
      </c>
      <c r="H16" s="455">
        <f>IF(ISNUMBER(((NºAsuntos!G16/NºAsuntos!E16)-Datos!BD16)/Datos!BD16),((NºAsuntos!G16/NºAsuntos!E16)-Datos!BD16)/Datos!BD16," - ")</f>
        <v>4.7993770659185885E-2</v>
      </c>
      <c r="I16" s="456">
        <f>IF(ISNUMBER(((NºAsuntos!I16/NºAsuntos!G16)-Datos!BE16)/Datos!BE16),((NºAsuntos!I16/NºAsuntos!G16)-Datos!BE16)/Datos!BE16," - ")</f>
        <v>0.22218652619082946</v>
      </c>
      <c r="J16" s="461">
        <f>IF(ISNUMBER((('Resol  Asuntos'!D16/NºAsuntos!G16)-Datos!BF16)/Datos!BF16),(('Resol  Asuntos'!D16/NºAsuntos!G16)-Datos!BF16)/Datos!BF16," - ")</f>
        <v>-3.7842809364548501E-2</v>
      </c>
      <c r="K16" s="462">
        <f>IF(ISNUMBER((((NºAsuntos!C16+NºAsuntos!E16)/NºAsuntos!G16)-Datos!BG16)/Datos!BG16),(((NºAsuntos!C16+NºAsuntos!E16)/NºAsuntos!G16)-Datos!BG16)/Datos!BG16," - ")</f>
        <v>6.3020314505078653E-2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0.54545454545454541</v>
      </c>
      <c r="C17" s="456">
        <f>IF(ISNUMBER(
   IF(D_I="SI",(Datos!J17-Datos!T17)/Datos!T17,(Datos!J17+Datos!AD17-(Datos!T17+Datos!AL17))/(Datos!T17+Datos!AL17))
     ),IF(D_I="SI",(Datos!J17-Datos!T17)/Datos!T17,(Datos!J17+Datos!AD17-(Datos!T17+Datos!AL17))/(Datos!T17+Datos!AL17))," - ")</f>
        <v>0.22884012539184953</v>
      </c>
      <c r="D17" s="456">
        <f>IF(ISNUMBER(
   IF(D_I="SI",(Datos!K17-Datos!U17)/Datos!U17,(Datos!K17+Datos!AE17-(Datos!U17+Datos!AM17))/(Datos!U17+Datos!AM17))
     ),IF(D_I="SI",(Datos!K17-Datos!U17)/Datos!U17,(Datos!K17+Datos!AE17-(Datos!U17+Datos!AM17))/(Datos!U17+Datos!AM17))," - ")</f>
        <v>-6.7796610169491525E-2</v>
      </c>
      <c r="E17" s="456">
        <f>IF(ISNUMBER(
   IF(D_I="SI",(Datos!L17-Datos!V17)/Datos!V17,(Datos!L17+Datos!AF17-(Datos!V17+Datos!AN17))/(Datos!V17+Datos!AN17))
     ),IF(D_I="SI",(Datos!L17-Datos!V17)/Datos!V17,(Datos!L17+Datos!AF17-(Datos!V17+Datos!AN17))/(Datos!V17+Datos!AN17))," - ")</f>
        <v>1.9473684210526316</v>
      </c>
      <c r="F17" s="456">
        <f>IF(ISNUMBER((Datos!M17-Datos!W17)/Datos!W17),(Datos!M17-Datos!W17)/Datos!W17," - ")</f>
        <v>-0.75</v>
      </c>
      <c r="G17" s="457">
        <f>IF(ISNUMBER((Datos!N17-Datos!X17)/Datos!X17),(Datos!N17-Datos!X17)/Datos!X17," - ")</f>
        <v>-4.7393364928909949E-2</v>
      </c>
      <c r="H17" s="455">
        <f>IF(ISNUMBER(((NºAsuntos!G17/NºAsuntos!E17)-Datos!BD17)/Datos!BD17),((NºAsuntos!G17/NºAsuntos!E17)-Datos!BD17)/Datos!BD17," - ")</f>
        <v>-0.24139571082670358</v>
      </c>
      <c r="I17" s="456">
        <f>IF(ISNUMBER(((NºAsuntos!I17/NºAsuntos!G17)-Datos!BE17)/Datos!BE17),((NºAsuntos!I17/NºAsuntos!G17)-Datos!BE17)/Datos!BE17," - ")</f>
        <v>2.1617224880382775</v>
      </c>
      <c r="J17" s="461">
        <f>IF(ISNUMBER((('Resol  Asuntos'!D17/NºAsuntos!G17)-Datos!BF17)/Datos!BF17),(('Resol  Asuntos'!D17/NºAsuntos!G17)-Datos!BF17)/Datos!BF17," - ")</f>
        <v>-0.7318181818181817</v>
      </c>
      <c r="K17" s="462">
        <f>IF(ISNUMBER((((NºAsuntos!C17+NºAsuntos!E17)/NºAsuntos!G17)-Datos!BG17)/Datos!BG17),(((NºAsuntos!C17+NºAsuntos!E17)/NºAsuntos!G17)-Datos!BG17)/Datos!BG17," - ")</f>
        <v>0.35005165289256185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0.29692645444566412</v>
      </c>
      <c r="C18" s="855">
        <f>IF(ISNUMBER(
   IF(Criterios!B14="SI",(Datos!J18-Datos!T18)/Datos!T18,(Datos!J18+Datos!AD18-(Datos!T18+Datos!AL18))/(Datos!T18+Datos!AL18))
     ),IF(Criterios!B14="SI",(Datos!J18-Datos!T18)/Datos!T18,(Datos!J18+Datos!AD18-(Datos!T18+Datos!AL18))/(Datos!T18+Datos!AL18))," - ")</f>
        <v>5.4984177215189875E-2</v>
      </c>
      <c r="D18" s="855">
        <f>IF(ISNUMBER(
   IF(Criterios!B14="SI",(Datos!K18-Datos!U18)/Datos!U18,(Datos!K18+Datos!AE18-(Datos!U18+Datos!AM18))/(Datos!U18+Datos!AM18))
     ),IF(Criterios!B14="SI",(Datos!K18-Datos!U18)/Datos!U18,(Datos!K18+Datos!AE18-(Datos!U18+Datos!AM18))/(Datos!U18+Datos!AM18))," - ")</f>
        <v>6.1417971970321519E-2</v>
      </c>
      <c r="E18" s="855">
        <f>IF(ISNUMBER(
   IF(Criterios!B14="SI",(Datos!L18-Datos!V18)/Datos!V18,(Datos!L18+Datos!AF18-(Datos!V18+Datos!AN18))/(Datos!V18+Datos!AN18))
     ),IF(Criterios!B14="SI",(Datos!L18-Datos!V18)/Datos!V18,(Datos!L18+Datos!AF18-(Datos!V18+Datos!AN18))/(Datos!V18+Datos!AN18))," - ")</f>
        <v>0.3702479338842975</v>
      </c>
      <c r="F18" s="856">
        <f>IF(ISNUMBER((Datos!M18-Datos!W18)/Datos!W18),(Datos!M18-Datos!W18)/Datos!W18," - ")</f>
        <v>-1.2E-2</v>
      </c>
      <c r="G18" s="857">
        <f>IF(ISNUMBER((Datos!N18-Datos!X18)/Datos!X18),(Datos!N18-Datos!X18)/Datos!X18," - ")</f>
        <v>5.8168316831683171E-2</v>
      </c>
      <c r="H18" s="857">
        <f>IF(ISNUMBER(((NºAsuntos!G18/NºAsuntos!E18)-Datos!BD18)/Datos!BD18),((NºAsuntos!G18/NºAsuntos!E18)-Datos!BD18)/Datos!BD18," - ")</f>
        <v>6.0984751184749407E-3</v>
      </c>
      <c r="I18" s="857">
        <f>IF(ISNUMBER(((NºAsuntos!I18/NºAsuntos!G18)-Datos!BE18)/Datos!BE18),((NºAsuntos!I18/NºAsuntos!G18)-Datos!BE18)/Datos!BE18," - ")</f>
        <v>0.29095980101099256</v>
      </c>
      <c r="J18" s="857">
        <f>IF(ISNUMBER((('Resol  Asuntos'!D18/NºAsuntos!G18)-Datos!BF18)/Datos!BF18),(('Resol  Asuntos'!D18/NºAsuntos!G18)-Datos!BF18)/Datos!BF18," - ")</f>
        <v>-6.9169708737864086E-2</v>
      </c>
      <c r="K18" s="857">
        <f>IF(ISNUMBER((((NºAsuntos!C18+NºAsuntos!E18)/NºAsuntos!G18)-Datos!BG18)/Datos!BG18),(((NºAsuntos!C18+NºAsuntos!E18)/NºAsuntos!G18)-Datos!BG18)/Datos!BG18," - ")</f>
        <v>8.9412342372503173E-2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0.43635471204188481</v>
      </c>
      <c r="C19" s="802">
        <f>IF(ISNUMBER(
   IF(J_V="SI",(Datos!J19-Datos!T19)/Datos!T19,(Datos!J19+Datos!Z19-(Datos!T19+Datos!AH19))/(Datos!T19+Datos!AH19))
     ),IF(J_V="SI",(Datos!J19-Datos!T19)/Datos!T19,(Datos!J19+Datos!Z19-(Datos!T19+Datos!AH19))/(Datos!T19+Datos!AH19))," - ")</f>
        <v>6.131979695431472E-2</v>
      </c>
      <c r="D19" s="802">
        <f>IF(ISNUMBER(
   IF(J_V="SI",(Datos!K19-Datos!U19)/Datos!U19,(Datos!K19+Datos!AA19-(Datos!U19+Datos!AI19))/(Datos!U19+Datos!AI19))
     ),IF(J_V="SI",(Datos!K19-Datos!U19)/Datos!U19,(Datos!K19+Datos!AA19-(Datos!U19+Datos!AI19))/(Datos!U19+Datos!AI19))," - ")</f>
        <v>0.20417095777548919</v>
      </c>
      <c r="E19" s="802">
        <f>IF(ISNUMBER(
   IF(J_V="SI",(Datos!L19-Datos!V19)/Datos!V19,(Datos!L19+Datos!AB19-(Datos!V19+Datos!AJ19))/(Datos!V19+Datos!AJ19))
     ),IF(J_V="SI",(Datos!L19-Datos!V19)/Datos!V19,(Datos!L19+Datos!AB19-(Datos!V19+Datos!AJ19))/(Datos!V19+Datos!AJ19))," - ")</f>
        <v>0.32893242475865986</v>
      </c>
      <c r="F19" s="803">
        <f>IF(ISNUMBER((Datos!M19-Datos!W19)/Datos!W19),(Datos!M19-Datos!W19)/Datos!W19," - ")</f>
        <v>0.30912476722532589</v>
      </c>
      <c r="G19" s="804">
        <f>IF(ISNUMBER((Datos!N19-Datos!X19)/Datos!X19),(Datos!N19-Datos!X19)/Datos!X19," - ")</f>
        <v>0.13692242475625266</v>
      </c>
      <c r="H19" s="805">
        <f>IF(ISNUMBER((Tasas!B19-Datos!BD19)/Datos!BD19),(Tasas!B19-Datos!BD19)/Datos!BD19," - ")</f>
        <v>0.1345976596602802</v>
      </c>
      <c r="I19" s="806">
        <f>IF(ISNUMBER((Tasas!C19-Datos!BE19)/Datos!BE19),(Tasas!C19-Datos!BE19)/Datos!BE19," - ")</f>
        <v>0.10360776945961829</v>
      </c>
      <c r="J19" s="807">
        <f>IF(ISNUMBER((Tasas!D19-Datos!BF19)/Datos!BF19),(Tasas!D19-Datos!BF19)/Datos!BF19," - ")</f>
        <v>-0.41208041494653291</v>
      </c>
      <c r="K19" s="807">
        <f>IF(ISNUMBER((Tasas!E19-Datos!BG19)/Datos!BG19),(Tasas!E19-Datos!BG19)/Datos!BG19," - ")</f>
        <v>5.3840611425998462E-2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hpvowUs8uEeQDpaFI9t3roM0vGOnOzqRGf4ANl8fxBJFKQiQZbwC4DyH1zCm6n+5YjISHBzqYUO5HBlaUU7qA==" saltValue="IxUrB0a6oPLSynfnrS3J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COSLADA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6.625</v>
      </c>
      <c r="D10" s="444">
        <f>IF(ISNUMBER('Resol  Asuntos'!D10/NºAsuntos!G10),'Resol  Asuntos'!D10/NºAsuntos!G10," - ")</f>
        <v>0</v>
      </c>
      <c r="E10" s="445">
        <f>IF(ISNUMBER((NºAsuntos!C10+NºAsuntos!E10)/NºAsuntos!G10),(NºAsuntos!C10+NºAsuntos!E10)/NºAsuntos!G10," - ")</f>
        <v>7.625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0.82246661429693635</v>
      </c>
      <c r="C12" s="443">
        <f>IF(ISNUMBER(NºAsuntos!I12/NºAsuntos!G12),NºAsuntos!I12/NºAsuntos!G12," - ")</f>
        <v>3.257402101241643</v>
      </c>
      <c r="D12" s="444">
        <f>IF(ISNUMBER('Resol  Asuntos'!D12/NºAsuntos!G12),'Resol  Asuntos'!D12/NºAsuntos!G12," - ")</f>
        <v>0.2177650429799427</v>
      </c>
      <c r="E12" s="445">
        <f>IF(ISNUMBER((NºAsuntos!C12+NºAsuntos!E12)/NºAsuntos!G12),(NºAsuntos!C12+NºAsuntos!E12)/NºAsuntos!G12," - ")</f>
        <v>4.2574021012416425</v>
      </c>
      <c r="G12" s="463"/>
    </row>
    <row r="13" spans="1:7" ht="14.25" thickTop="1" thickBot="1">
      <c r="A13" s="848" t="str">
        <f>Datos!A13</f>
        <v>TOTAL</v>
      </c>
      <c r="B13" s="858">
        <f>IF(ISNUMBER(NºAsuntos!G13/NºAsuntos!E13),NºAsuntos!G13/NºAsuntos!E13," - ")</f>
        <v>0.82109374999999996</v>
      </c>
      <c r="C13" s="859">
        <f>IF(ISNUMBER(NºAsuntos!I13/NºAsuntos!G13),NºAsuntos!I13/NºAsuntos!G13," - ")</f>
        <v>3.2702188392007612</v>
      </c>
      <c r="D13" s="860">
        <f>IF(ISNUMBER('Resol  Asuntos'!D13/NºAsuntos!G13),'Resol  Asuntos'!D13/NºAsuntos!G13," - ")</f>
        <v>0.21693625118934348</v>
      </c>
      <c r="E13" s="861">
        <f>IF(ISNUMBER((NºAsuntos!C13+NºAsuntos!E13)/NºAsuntos!G13),(NºAsuntos!C13+NºAsuntos!E13)/NºAsuntos!G13," - ")</f>
        <v>4.2702188392007612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1.0109890109890109</v>
      </c>
      <c r="C16" s="443">
        <f>IF(ISNUMBER(NºAsuntos!I16/NºAsuntos!G16),NºAsuntos!I16/NºAsuntos!G16," - ")</f>
        <v>1.0082608695652173</v>
      </c>
      <c r="D16" s="444">
        <f>IF(ISNUMBER('Resol  Asuntos'!D16/NºAsuntos!G16),'Resol  Asuntos'!D16/NºAsuntos!G16," - ")</f>
        <v>0.10565217391304348</v>
      </c>
      <c r="E16" s="445">
        <f>IF(ISNUMBER((NºAsuntos!C16+NºAsuntos!E16)/NºAsuntos!G16),(NºAsuntos!C16+NºAsuntos!E16)/NºAsuntos!G16," - ")</f>
        <v>1.9943478260869565</v>
      </c>
      <c r="G16" s="463"/>
    </row>
    <row r="17" spans="1:7" ht="13.5" thickBot="1">
      <c r="A17" s="402" t="str">
        <f>Datos!A17</f>
        <v>Jdos. Violencia contra la mujer</v>
      </c>
      <c r="B17" s="442">
        <f>IF(ISNUMBER(NºAsuntos!G17/NºAsuntos!E17),NºAsuntos!G17/NºAsuntos!E17," - ")</f>
        <v>0.70153061224489799</v>
      </c>
      <c r="C17" s="443">
        <f>IF(ISNUMBER(NºAsuntos!I17/NºAsuntos!G17),NºAsuntos!I17/NºAsuntos!G17," - ")</f>
        <v>0.61090909090909096</v>
      </c>
      <c r="D17" s="444">
        <f>IF(ISNUMBER('Resol  Asuntos'!D17/NºAsuntos!G17),'Resol  Asuntos'!D17/NºAsuntos!G17," - ")</f>
        <v>1.4545454545454545E-2</v>
      </c>
      <c r="E17" s="445">
        <f>IF(ISNUMBER((NºAsuntos!C17+NºAsuntos!E17)/NºAsuntos!G17),(NºAsuntos!C17+NºAsuntos!E17)/NºAsuntos!G17," - ")</f>
        <v>1.6109090909090908</v>
      </c>
      <c r="G17" s="463"/>
    </row>
    <row r="18" spans="1:7" ht="14.25" thickTop="1" thickBot="1">
      <c r="A18" s="848" t="str">
        <f>Datos!A18</f>
        <v>TOTAL</v>
      </c>
      <c r="B18" s="858">
        <f>IF(ISNUMBER(NºAsuntos!G18/NºAsuntos!E18),NºAsuntos!G18/NºAsuntos!E18," - ")</f>
        <v>0.96550431196100484</v>
      </c>
      <c r="C18" s="859">
        <f>IF(ISNUMBER(NºAsuntos!I18/NºAsuntos!G18),NºAsuntos!I18/NºAsuntos!G18," - ")</f>
        <v>0.96582524271844661</v>
      </c>
      <c r="D18" s="862">
        <f>IF(ISNUMBER('Resol  Asuntos'!D18/NºAsuntos!G18),'Resol  Asuntos'!D18/NºAsuntos!G18," - ")</f>
        <v>9.592233009708738E-2</v>
      </c>
      <c r="E18" s="861">
        <f>IF(ISNUMBER((NºAsuntos!C18+NºAsuntos!E18)/NºAsuntos!G18),(NºAsuntos!C18+NºAsuntos!E18)/NºAsuntos!G18," - ")</f>
        <v>1.9533980582524273</v>
      </c>
      <c r="G18" s="463"/>
    </row>
    <row r="19" spans="1:7" ht="15.75" customHeight="1" thickTop="1" thickBot="1">
      <c r="A19" s="793" t="str">
        <f>Datos!A19</f>
        <v>TOTAL JURISDICCIONES</v>
      </c>
      <c r="B19" s="808">
        <f>IF(ISNUMBER(NºAsuntos!G19/NºAsuntos!E19),NºAsuntos!G19/NºAsuntos!E19," - ")</f>
        <v>0.89477711880619859</v>
      </c>
      <c r="C19" s="809">
        <f>IF(ISNUMBER(NºAsuntos!I19/NºAsuntos!G19),NºAsuntos!I19/NºAsuntos!G19," - ")</f>
        <v>2.0014966859097711</v>
      </c>
      <c r="D19" s="810">
        <f>IF(ISNUMBER('Resol  Asuntos'!D19/NºAsuntos!G19),'Resol  Asuntos'!D19/NºAsuntos!G19," - ")</f>
        <v>0.15031002779559546</v>
      </c>
      <c r="E19" s="811">
        <f>IF(ISNUMBER((NºAsuntos!C19+NºAsuntos!E19)/NºAsuntos!G19),(NºAsuntos!C19+NºAsuntos!E19)/NºAsuntos!G19," - ")</f>
        <v>2.9946546931793887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amk+5YRtBQW/6Gv9iVO6Noz1eXKkUnR0GoWlIPAiWSzsUE0AkSnRhhPfPJELzLOOK/sTZn4S1bXEw8OzoDkVA==" saltValue="qykEtevjFP7Ir9TDoRAs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COSLADA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53</v>
      </c>
      <c r="AB10" s="334">
        <f>IF(ISNUMBER(Datos!R10),Datos!R10," - ")</f>
        <v>40</v>
      </c>
      <c r="AC10" s="334">
        <f t="shared" ref="AC10:AC12" si="1">IF(ISNUMBER(AA10+AB10),AA10+AB10," - ")</f>
        <v>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19.875</v>
      </c>
      <c r="AN10" s="244">
        <f>IF(ISNUMBER('Resol  Asuntos'!D10/NºAsuntos!G10),'Resol  Asuntos'!D10/NºAsuntos!G10," - ")</f>
        <v>0</v>
      </c>
      <c r="AO10" s="245">
        <f>IF(ISNUMBER((NºAsuntos!C10+NºAsuntos!E10)/NºAsuntos!G10),(NºAsuntos!C10+NºAsuntos!E10)/NºAsuntos!G10," - ")</f>
        <v>7.625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204</v>
      </c>
      <c r="Y12" s="334">
        <f t="shared" si="0"/>
        <v>204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456</v>
      </c>
      <c r="AJ12" s="229" t="str">
        <f>IF(ISNUMBER(Datos!BW12),Datos!BW12," - ")</f>
        <v xml:space="preserve"> - </v>
      </c>
      <c r="AK12" s="228" t="str">
        <f>IF(ISNUMBER(Datos!BX12),Datos!BX12," - ")</f>
        <v xml:space="preserve"> - </v>
      </c>
      <c r="AL12" s="243">
        <f>IF(ISNUMBER(NºAsuntos!G12/NºAsuntos!E12),NºAsuntos!G12/NºAsuntos!E12," - ")</f>
        <v>0.82246661429693635</v>
      </c>
      <c r="AM12" s="260">
        <f>IF(ISNUMBER(((NºAsuntos!I12/NºAsuntos!G12)*11)/factor_trimestre),((NºAsuntos!I12/NºAsuntos!G12)*11)/factor_trimestre," - ")</f>
        <v>9.7722063037249303</v>
      </c>
      <c r="AN12" s="244">
        <f>IF(ISNUMBER('Resol  Asuntos'!D12/NºAsuntos!G12),'Resol  Asuntos'!D12/NºAsuntos!G12," - ")</f>
        <v>0.2177650429799427</v>
      </c>
      <c r="AO12" s="245">
        <f>IF(ISNUMBER((NºAsuntos!C12+NºAsuntos!E12)/NºAsuntos!G12),(NºAsuntos!C12+NºAsuntos!E12)/NºAsuntos!G12," - ")</f>
        <v>4.2574021012416425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47</v>
      </c>
      <c r="G13" s="866">
        <f t="shared" si="3"/>
        <v>47</v>
      </c>
      <c r="H13" s="865">
        <f t="shared" si="3"/>
        <v>0</v>
      </c>
      <c r="I13" s="867">
        <f t="shared" si="3"/>
        <v>0</v>
      </c>
      <c r="J13" s="867">
        <f t="shared" si="3"/>
        <v>0</v>
      </c>
      <c r="K13" s="867">
        <f t="shared" si="3"/>
        <v>0</v>
      </c>
      <c r="L13" s="867">
        <f t="shared" si="3"/>
        <v>390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204</v>
      </c>
      <c r="Y13" s="868">
        <f t="shared" si="4"/>
        <v>212</v>
      </c>
      <c r="Z13" s="868">
        <f t="shared" si="4"/>
        <v>0</v>
      </c>
      <c r="AA13" s="868">
        <f t="shared" si="4"/>
        <v>53</v>
      </c>
      <c r="AB13" s="868">
        <f t="shared" si="4"/>
        <v>6899</v>
      </c>
      <c r="AC13" s="868">
        <f t="shared" si="4"/>
        <v>93</v>
      </c>
      <c r="AD13" s="868">
        <f t="shared" si="4"/>
        <v>0</v>
      </c>
      <c r="AE13" s="872">
        <f t="shared" si="4"/>
        <v>0</v>
      </c>
      <c r="AF13" s="865">
        <f t="shared" si="4"/>
        <v>0</v>
      </c>
      <c r="AG13" s="873">
        <f t="shared" si="4"/>
        <v>0</v>
      </c>
      <c r="AH13" s="870">
        <f t="shared" si="4"/>
        <v>0</v>
      </c>
      <c r="AI13" s="865">
        <f t="shared" si="4"/>
        <v>456</v>
      </c>
      <c r="AJ13" s="867">
        <f t="shared" si="4"/>
        <v>0</v>
      </c>
      <c r="AK13" s="870">
        <f>SUBTOTAL(9,AK9:AK12)</f>
        <v>0</v>
      </c>
      <c r="AL13" s="874">
        <f>IF(ISNUMBER(NºAsuntos!G13/NºAsuntos!E13),NºAsuntos!G13/NºAsuntos!E13," - ")</f>
        <v>0.82109374999999996</v>
      </c>
      <c r="AM13" s="874">
        <f>IF(ISNUMBER(((NºAsuntos!I13/NºAsuntos!G13)*11)/factor_trimestre),((NºAsuntos!I13/NºAsuntos!G13)*11)/factor_trimestre," - ")</f>
        <v>9.8106565176022844</v>
      </c>
      <c r="AN13" s="875">
        <f>IF(ISNUMBER('Resol  Asuntos'!D13/NºAsuntos!G13),'Resol  Asuntos'!D13/NºAsuntos!G13," - ")</f>
        <v>0.21693625118934348</v>
      </c>
      <c r="AO13" s="876">
        <f>IF(ISNUMBER((NºAsuntos!C13+NºAsuntos!E13)/NºAsuntos!G13),(NºAsuntos!C13+NºAsuntos!E13)/NºAsuntos!G13," - ")</f>
        <v>4.2702188392007612</v>
      </c>
      <c r="AP13" s="877" t="str">
        <f t="shared" si="2"/>
        <v xml:space="preserve"> - </v>
      </c>
      <c r="AQ13" s="877">
        <f>IF(ISNUMBER((H13-W13+K13)/(F13)),(H13-W13+K13)/(F13)," - ")</f>
        <v>-0.1702127659574468</v>
      </c>
      <c r="AR13" s="878">
        <f>IF(ISNUMBER((Datos!P13-Datos!Q13)/(Datos!R13-Datos!P13+Datos!Q13)),(Datos!P13-Datos!Q13)/(Datos!R13-Datos!P13+Datos!Q13)," - ")</f>
        <v>2.7707433338298823E-2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2344</v>
      </c>
      <c r="G16" s="333">
        <f>IF(ISNUMBER(IF(D_I="SI",Datos!I16,Datos!I16+Datos!AC16)),IF(D_I="SI",Datos!I16,Datos!I16+Datos!AC16)," - ")</f>
        <v>2312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2300</v>
      </c>
      <c r="X16" s="226">
        <f>IF(ISNUMBER(Datos!Q16),Datos!Q16," - ")</f>
        <v>58</v>
      </c>
      <c r="Y16" s="334">
        <f t="shared" ref="Y16:Y17" si="7">SUM(W16:X16)</f>
        <v>2358</v>
      </c>
      <c r="Z16" s="335" t="str">
        <f>IF(ISNUMBER(Datos!CC16),Datos!CC16," - ")</f>
        <v xml:space="preserve"> - </v>
      </c>
      <c r="AA16" s="332">
        <f>IF(ISNUMBER(IF(D_I="SI",Datos!L16,Datos!L16+Datos!AF16)),IF(D_I="SI",Datos!L16,Datos!L16+Datos!AF16)," - ")</f>
        <v>2319</v>
      </c>
      <c r="AB16" s="334">
        <f>IF(ISNUMBER(Datos!R16),Datos!R16," - ")</f>
        <v>293</v>
      </c>
      <c r="AC16" s="334">
        <f t="shared" si="6"/>
        <v>2612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243</v>
      </c>
      <c r="AJ16" s="231" t="str">
        <f>IF(ISNUMBER(Datos!BW16),Datos!BW16," - ")</f>
        <v xml:space="preserve"> - </v>
      </c>
      <c r="AK16" s="232" t="str">
        <f>IF(ISNUMBER(Datos!BX16),Datos!BX16," - ")</f>
        <v xml:space="preserve"> - </v>
      </c>
      <c r="AL16" s="243">
        <f>IF(ISNUMBER(NºAsuntos!G16/NºAsuntos!E16),NºAsuntos!G16/NºAsuntos!E16," - ")</f>
        <v>1.0109890109890109</v>
      </c>
      <c r="AM16" s="260">
        <f>IF(ISNUMBER(((NºAsuntos!I16/NºAsuntos!G16)*11)/factor_trimestre),((NºAsuntos!I16/NºAsuntos!G16)*11)/factor_trimestre," - ")</f>
        <v>3.0247826086956522</v>
      </c>
      <c r="AN16" s="244">
        <f>IF(ISNUMBER('Resol  Asuntos'!D16/NºAsuntos!G16),'Resol  Asuntos'!D16/NºAsuntos!G16," - ")</f>
        <v>0.10565217391304348</v>
      </c>
      <c r="AO16" s="245">
        <f>IF(ISNUMBER((NºAsuntos!C16+NºAsuntos!E16)/NºAsuntos!G16),(NºAsuntos!C16+NºAsuntos!E16)/NºAsuntos!G16," - ")</f>
        <v>1.9943478260869565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275</v>
      </c>
      <c r="X17" s="226">
        <f>IF(ISNUMBER(Datos!Q17),Datos!Q17," - ")</f>
        <v>7</v>
      </c>
      <c r="Y17" s="334">
        <f t="shared" si="7"/>
        <v>282</v>
      </c>
      <c r="Z17" s="335" t="str">
        <f>IF(ISNUMBER(Datos!CC17),Datos!CC17," - ")</f>
        <v xml:space="preserve"> - </v>
      </c>
      <c r="AA17" s="332">
        <f>IF(ISNUMBER(Datos!L17),Datos!L17,"-")</f>
        <v>168</v>
      </c>
      <c r="AB17" s="334">
        <f>IF(ISNUMBER(Datos!R17),Datos!R17," - ")</f>
        <v>3</v>
      </c>
      <c r="AC17" s="334">
        <f t="shared" si="6"/>
        <v>171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0.70153061224489799</v>
      </c>
      <c r="AM17" s="260">
        <f>IF(ISNUMBER(((NºAsuntos!I17/NºAsuntos!G17)*11)/factor_trimestre),((NºAsuntos!I17/NºAsuntos!G17)*11)/factor_trimestre," - ")</f>
        <v>1.832727272727273</v>
      </c>
      <c r="AN17" s="244">
        <f>IF(ISNUMBER('Resol  Asuntos'!D17/NºAsuntos!G17),'Resol  Asuntos'!D17/NºAsuntos!G17," - ")</f>
        <v>1.4545454545454545E-2</v>
      </c>
      <c r="AO17" s="245">
        <f>IF(ISNUMBER((NºAsuntos!C17+NºAsuntos!E17)/NºAsuntos!G17),(NºAsuntos!C17+NºAsuntos!E17)/NºAsuntos!G17," - ")</f>
        <v>1.6109090909090908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2344</v>
      </c>
      <c r="G18" s="866">
        <f>SUBTOTAL(9,G15:G17)</f>
        <v>2363</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2575</v>
      </c>
      <c r="X18" s="867">
        <f t="shared" si="11"/>
        <v>65</v>
      </c>
      <c r="Y18" s="868">
        <f t="shared" si="11"/>
        <v>2640</v>
      </c>
      <c r="Z18" s="868">
        <f t="shared" si="11"/>
        <v>0</v>
      </c>
      <c r="AA18" s="868">
        <f t="shared" si="11"/>
        <v>2487</v>
      </c>
      <c r="AB18" s="868">
        <f t="shared" si="11"/>
        <v>296</v>
      </c>
      <c r="AC18" s="868">
        <f t="shared" si="11"/>
        <v>2783</v>
      </c>
      <c r="AD18" s="868">
        <f t="shared" si="11"/>
        <v>0</v>
      </c>
      <c r="AE18" s="872">
        <f t="shared" si="11"/>
        <v>0</v>
      </c>
      <c r="AF18" s="865">
        <f t="shared" si="11"/>
        <v>0</v>
      </c>
      <c r="AG18" s="873">
        <f t="shared" si="11"/>
        <v>0</v>
      </c>
      <c r="AH18" s="870">
        <f t="shared" si="11"/>
        <v>0</v>
      </c>
      <c r="AI18" s="865">
        <f t="shared" si="11"/>
        <v>247</v>
      </c>
      <c r="AJ18" s="867">
        <f t="shared" si="11"/>
        <v>0</v>
      </c>
      <c r="AK18" s="870">
        <f t="shared" si="11"/>
        <v>0</v>
      </c>
      <c r="AL18" s="874">
        <f>IF(ISNUMBER(NºAsuntos!G18/NºAsuntos!E18),NºAsuntos!G18/NºAsuntos!E18," - ")</f>
        <v>0.96550431196100484</v>
      </c>
      <c r="AM18" s="874">
        <f>IF(ISNUMBER(((NºAsuntos!I18/NºAsuntos!G18)*11)/factor_trimestre),((NºAsuntos!I18/NºAsuntos!G18)*11)/factor_trimestre," - ")</f>
        <v>2.89747572815534</v>
      </c>
      <c r="AN18" s="875">
        <f>IF(ISNUMBER('Resol  Asuntos'!D18/NºAsuntos!G18),'Resol  Asuntos'!D18/NºAsuntos!G18," - ")</f>
        <v>9.592233009708738E-2</v>
      </c>
      <c r="AO18" s="876">
        <f>IF(ISNUMBER((NºAsuntos!C18+NºAsuntos!E18)/NºAsuntos!G18),(NºAsuntos!C18+NºAsuntos!E18)/NºAsuntos!G18," - ")</f>
        <v>1.9533980582524273</v>
      </c>
      <c r="AP18" s="877" t="str">
        <f t="shared" si="2"/>
        <v xml:space="preserve"> - </v>
      </c>
      <c r="AQ18" s="877">
        <f>IF(ISNUMBER((H18-W18+K18)/(F18)),(H18-W18+K18)/(F18)," - ")</f>
        <v>-1.0985494880546076</v>
      </c>
      <c r="AR18" s="878">
        <f>IF(ISNUMBER((Datos!P18-Datos!Q18)/(Datos!R18-Datos!P18+Datos!Q18)),(Datos!P18-Datos!Q18)/(Datos!R18-Datos!P18+Datos!Q18)," - ")</f>
        <v>-7.4999999999999997E-2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2391</v>
      </c>
      <c r="G19" s="821">
        <f t="shared" si="13"/>
        <v>2410</v>
      </c>
      <c r="H19" s="820">
        <f t="shared" si="13"/>
        <v>0</v>
      </c>
      <c r="I19" s="822">
        <f t="shared" si="13"/>
        <v>0</v>
      </c>
      <c r="J19" s="822">
        <f t="shared" si="13"/>
        <v>0</v>
      </c>
      <c r="K19" s="881">
        <f t="shared" si="13"/>
        <v>0</v>
      </c>
      <c r="L19" s="822">
        <f t="shared" si="13"/>
        <v>431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2583</v>
      </c>
      <c r="X19" s="821">
        <f t="shared" si="14"/>
        <v>269</v>
      </c>
      <c r="Y19" s="828">
        <f t="shared" si="14"/>
        <v>2852</v>
      </c>
      <c r="Z19" s="828">
        <f t="shared" si="14"/>
        <v>0</v>
      </c>
      <c r="AA19" s="828">
        <f t="shared" si="14"/>
        <v>2540</v>
      </c>
      <c r="AB19" s="828">
        <f t="shared" si="14"/>
        <v>7195</v>
      </c>
      <c r="AC19" s="828">
        <f t="shared" si="14"/>
        <v>2876</v>
      </c>
      <c r="AD19" s="828">
        <f t="shared" si="14"/>
        <v>0</v>
      </c>
      <c r="AE19" s="830">
        <f t="shared" si="14"/>
        <v>0</v>
      </c>
      <c r="AF19" s="831">
        <f t="shared" si="14"/>
        <v>0</v>
      </c>
      <c r="AG19" s="832">
        <f t="shared" si="14"/>
        <v>0</v>
      </c>
      <c r="AH19" s="830">
        <f t="shared" si="14"/>
        <v>0</v>
      </c>
      <c r="AI19" s="820">
        <f t="shared" si="14"/>
        <v>703</v>
      </c>
      <c r="AJ19" s="820">
        <f t="shared" si="14"/>
        <v>0</v>
      </c>
      <c r="AK19" s="830">
        <f t="shared" si="14"/>
        <v>0</v>
      </c>
      <c r="AL19" s="884">
        <f>IF(ISNUMBER(NºAsuntos!G19/NºAsuntos!E19),NºAsuntos!G19/NºAsuntos!E19," - ")</f>
        <v>0.89477711880619859</v>
      </c>
      <c r="AM19" s="885">
        <f>IF(ISNUMBER(((NºAsuntos!I19/NºAsuntos!G19)*11)/factor_trimestre),((NºAsuntos!I19/NºAsuntos!G19)*11)/factor_trimestre," - ")</f>
        <v>6.0044900577293134</v>
      </c>
      <c r="AN19" s="885">
        <f>IF(ISNUMBER('Resol  Asuntos'!D19/NºAsuntos!G19),'Resol  Asuntos'!D19/NºAsuntos!G19," - ")</f>
        <v>0.15031002779559546</v>
      </c>
      <c r="AO19" s="886">
        <f>IF(ISNUMBER((NºAsuntos!C19+NºAsuntos!E19)/NºAsuntos!G19),(NºAsuntos!C19+NºAsuntos!E19)/NºAsuntos!G19," - ")</f>
        <v>2.9946546931793887</v>
      </c>
      <c r="AP19" s="887" t="str">
        <f t="shared" si="2"/>
        <v xml:space="preserve"> - </v>
      </c>
      <c r="AQ19" s="888">
        <f>IF(OR(ISNUMBER(FIND("01",Criterios!A8,1)),ISNUMBER(FIND("02",Criterios!A8,1)),ISNUMBER(FIND("03",Criterios!A8,1)),ISNUMBER(FIND("04",Criterios!A8,1))),(I19-W19+K19)/(F19-K19),(H19-W19+K19)/(F19-K19))</f>
        <v>-1.0803011292346298</v>
      </c>
      <c r="AR19" s="889">
        <f>IF(ISNUMBER((Datos!P19-Datos!Q19)/(Datos!R19-Datos!P19+Datos!Q19)),(Datos!P19-Datos!Q19)/(Datos!R19-Datos!P19+Datos!Q19)," - ")</f>
        <v>2.3034267026873313E-2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3.2574700476153438</v>
      </c>
      <c r="F21" s="252">
        <f>IF(ISNUMBER(STDEV(F8:F18)),STDEV(F8:F18),"-")</f>
        <v>1326.1735683285704</v>
      </c>
      <c r="G21" s="253">
        <f>IF(ISNUMBER(STDEV(G8:G18)),STDEV(G8:G18),"-")</f>
        <v>1253.9589307469364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1290.2390088661869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203.2108920965278</v>
      </c>
      <c r="AJ21" s="252">
        <f t="shared" si="18"/>
        <v>0</v>
      </c>
      <c r="AK21" s="254">
        <f t="shared" si="18"/>
        <v>0</v>
      </c>
      <c r="AL21" s="249">
        <f t="shared" si="18"/>
        <v>0.16331378039880204</v>
      </c>
      <c r="AM21" s="250">
        <f t="shared" si="18"/>
        <v>6.8724863652631552</v>
      </c>
      <c r="AN21" s="250">
        <f t="shared" si="18"/>
        <v>9.4300879496945836E-2</v>
      </c>
      <c r="AO21" s="251">
        <f t="shared" si="18"/>
        <v>2.2945950229334318</v>
      </c>
      <c r="AP21" s="291" t="str">
        <f t="shared" si="18"/>
        <v>-</v>
      </c>
      <c r="AQ21" s="292">
        <f t="shared" si="18"/>
        <v>0.65643319141939371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XOO6iyEGZifPAgoFbmXuOWx7QzfJ3uIgwoeVVYEIlCuBIv1RXfJpeoLN+uqxOeYlvJvA0dFkVu4vXxi2uR4+Q==" saltValue="5psOrwHCQOAzB5c/Dk00T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COSLADA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1.35</v>
      </c>
      <c r="E10" s="348">
        <f>IF(ISNUMBER((Datos!J10-Datos!T10)/Datos!T10),(Datos!J10-Datos!T10)/Datos!T10," - ")</f>
        <v>0</v>
      </c>
      <c r="F10" s="348">
        <f>IF(ISNUMBER((Datos!K10-Datos!U10)/Datos!U10),(Datos!K10-Datos!U10)/Datos!U10," - ")</f>
        <v>-0.5</v>
      </c>
      <c r="G10" s="349">
        <f>IF(ISNUMBER((Datos!L10-Datos!V10)/Datos!V10),(Datos!L10-Datos!V10)/Datos!V10," - ")</f>
        <v>1.9444444444444444</v>
      </c>
      <c r="H10" s="230" t="str">
        <f>IF(ISNUMBER((Datos!M10-Datos!W10)/Datos!W10),(Datos!M10-Datos!W10)/Datos!W10," - ")</f>
        <v xml:space="preserve"> - </v>
      </c>
      <c r="I10" s="350">
        <f>IF(ISNUMBER((Tasas!C10-Datos!BE10)/Datos!BE10),(Tasas!C10-Datos!BE10)/Datos!BE10," - ")</f>
        <v>4.8888888888888893</v>
      </c>
      <c r="J10" s="349" t="str">
        <f>IF(ISNUMBER((Tasas!D10-Datos!BF10)/Datos!BF10),(Tasas!D10-Datos!BF10)/Datos!BF10," - ")</f>
        <v xml:space="preserve"> - </v>
      </c>
      <c r="K10" s="351">
        <f>IF(ISNUMBER((Tasas!E10-Datos!BG10)/Datos!BG10),(Tasas!E10-Datos!BG10)/Datos!BG10," - ")</f>
        <v>2.5882352941176472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0.58885017421602792</v>
      </c>
      <c r="I12" s="350">
        <f>IF(ISNUMBER((Tasas!C12-Datos!BE12)/Datos!BE12),(Tasas!C12-Datos!BE12)/Datos!BE12," - ")</f>
        <v>-9.8604139322500631E-2</v>
      </c>
      <c r="J12" s="349">
        <f>IF(ISNUMBER((Tasas!D12-Datos!BF12)/Datos!BF12),(Tasas!D12-Datos!BF12)/Datos!BF12," - ")</f>
        <v>-0.57736582506449885</v>
      </c>
      <c r="K12" s="351">
        <f>IF(ISNUMBER((Tasas!E12-Datos!BG12)/Datos!BG12),(Tasas!E12-Datos!BG12)/Datos!BG12," - ")</f>
        <v>-7.7232251617248074E-2</v>
      </c>
      <c r="M12" t="e">
        <f>IF(Monitorios="SI",Datos!CE12,0)</f>
        <v>#REF!</v>
      </c>
      <c r="N12" t="e">
        <f>IF(Monitorios="SI",Datos!CF12,0)</f>
        <v>#REF!</v>
      </c>
      <c r="O12" t="e">
        <f>IF(Monitorios="SI",Datos!CG12,0)</f>
        <v>#REF!</v>
      </c>
      <c r="P12" t="e">
        <f>IF(Monitorios="SI",Datos!CH12,0)</f>
        <v>#REF!</v>
      </c>
      <c r="Q12">
        <f>IF(J_V="SI",0,Datos!AG12)</f>
        <v>180</v>
      </c>
      <c r="R12">
        <f>IF(J_V="SI",0,Datos!AH12)</f>
        <v>159</v>
      </c>
      <c r="S12">
        <f>IF(J_V="SI",0,Datos!AI12)</f>
        <v>168</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0.58885017421602792</v>
      </c>
      <c r="I13" s="357">
        <f>IF(ISNUMBER((Tasas!C13-Datos!BE13)/Datos!BE13),(Tasas!C13-Datos!BE13)/Datos!BE13," - ")</f>
        <v>-8.8166175644538172E-2</v>
      </c>
      <c r="J13" s="355">
        <f>IF(ISNUMBER((Tasas!D13-Datos!BF13)/Datos!BF13),(Tasas!D13-Datos!BF13)/Datos!BF13," - ")</f>
        <v>-0.57430275338618741</v>
      </c>
      <c r="K13" s="358">
        <f>IF(ISNUMBER((Tasas!E13-Datos!BG13)/Datos!BG13),(Tasas!E13-Datos!BG13)/Datos!BG13," - ")</f>
        <v>-6.8942864131193465E-2</v>
      </c>
      <c r="M13" t="e">
        <f>IF(Monitorios="SI",Datos!CE13,0)</f>
        <v>#REF!</v>
      </c>
      <c r="N13" t="e">
        <f>IF(Monitorios="SI",Datos!CF13,0)</f>
        <v>#REF!</v>
      </c>
      <c r="O13" t="e">
        <f>IF(Monitorios="SI",Datos!CG13,0)</f>
        <v>#REF!</v>
      </c>
      <c r="P13" t="e">
        <f>IF(Monitorios="SI",Datos!CH13,0)</f>
        <v>#REF!</v>
      </c>
      <c r="Q13">
        <f>IF(J_V="SI",0,Datos!AG13)</f>
        <v>180</v>
      </c>
      <c r="R13">
        <f>IF(J_V="SI",0,Datos!AH13)</f>
        <v>159</v>
      </c>
      <c r="S13">
        <f>IF(J_V="SI",0,Datos!AI13)</f>
        <v>168</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0.29234209055338178</v>
      </c>
      <c r="E16" s="348">
        <f>IF(ISNUMBER(
   IF(D_I="SI",(Datos!J16-Datos!T16)/Datos!T16,(Datos!J16+Datos!AD16-(Datos!T16+Datos!AL16))/(Datos!T16+Datos!AL16))
     ),IF(D_I="SI",(Datos!J16-Datos!T16)/Datos!T16,(Datos!J16+Datos!AD16-(Datos!T16+Datos!AL16))/(Datos!T16+Datos!AL16))," - ")</f>
        <v>2.9877772747849706E-2</v>
      </c>
      <c r="F16" s="348">
        <f>IF(ISNUMBER(
   IF(D_I="SI",(Datos!K16-Datos!U16)/Datos!U16,(Datos!K16+Datos!AE16-(Datos!U16+Datos!AM16))/(Datos!U16+Datos!AM16))
     ),IF(D_I="SI",(Datos!K16-Datos!U16)/Datos!U16,(Datos!K16+Datos!AE16-(Datos!U16+Datos!AM16))/(Datos!U16+Datos!AM16))," - ")</f>
        <v>7.9305490380103233E-2</v>
      </c>
      <c r="G16" s="349">
        <f>IF(ISNUMBER(
   IF(D_I="SI",(Datos!L16-Datos!V16)/Datos!V16,(Datos!L16+Datos!AF16-(Datos!V16+Datos!AN16))/(Datos!V16+Datos!AN16))
     ),IF(D_I="SI",(Datos!L16-Datos!V16)/Datos!V16,(Datos!L16+Datos!AF16-(Datos!V16+Datos!AN16))/(Datos!V16+Datos!AN16))," - ")</f>
        <v>0.3191126279863481</v>
      </c>
      <c r="H16" s="230">
        <f>IF(ISNUMBER((Datos!M16-Datos!W16)/Datos!W16),(Datos!M16-Datos!W16)/Datos!W16," - ")</f>
        <v>3.8461538461538464E-2</v>
      </c>
      <c r="I16" s="350">
        <f>IF(ISNUMBER((Tasas!C16-Datos!BE16)/Datos!BE16),(Tasas!C16-Datos!BE16)/Datos!BE16," - ")</f>
        <v>0.22218652619082946</v>
      </c>
      <c r="J16" s="349">
        <f>IF(ISNUMBER((Tasas!D16-Datos!BF16)/Datos!BF16),(Tasas!D16-Datos!BF16)/Datos!BF16," - ")</f>
        <v>-3.7842809364548501E-2</v>
      </c>
      <c r="K16" s="351">
        <f>IF(ISNUMBER((Tasas!E16-Datos!BG16)/Datos!BG16),(Tasas!E16-Datos!BG16)/Datos!BG16," - ")</f>
        <v>6.3020314505078653E-2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0.54545454545454541</v>
      </c>
      <c r="E17" s="348">
        <f>IF(ISNUMBER(
   IF(D_I="SI",(Datos!J17-Datos!T17)/Datos!T17,(Datos!J17+Datos!AD17-(Datos!T17+Datos!AL17))/(Datos!T17+Datos!AL17))
     ),IF(D_I="SI",(Datos!J17-Datos!T17)/Datos!T17,(Datos!J17+Datos!AD17-(Datos!T17+Datos!AL17))/(Datos!T17+Datos!AL17))," - ")</f>
        <v>0.22884012539184953</v>
      </c>
      <c r="F17" s="348">
        <f>IF(ISNUMBER(
   IF(D_I="SI",(Datos!K17-Datos!U17)/Datos!U17,(Datos!K17+Datos!AE17-(Datos!U17+Datos!AM17))/(Datos!U17+Datos!AM17))
     ),IF(D_I="SI",(Datos!K17-Datos!U17)/Datos!U17,(Datos!K17+Datos!AE17-(Datos!U17+Datos!AM17))/(Datos!U17+Datos!AM17))," - ")</f>
        <v>-6.7796610169491525E-2</v>
      </c>
      <c r="G17" s="349">
        <f>IF(ISNUMBER(
   IF(D_I="SI",(Datos!L17-Datos!V17)/Datos!V17,(Datos!L17+Datos!AF17-(Datos!V17+Datos!AN17))/(Datos!V17+Datos!AN17))
     ),IF(D_I="SI",(Datos!L17-Datos!V17)/Datos!V17,(Datos!L17+Datos!AF17-(Datos!V17+Datos!AN17))/(Datos!V17+Datos!AN17))," - ")</f>
        <v>1.9473684210526316</v>
      </c>
      <c r="H17" s="230">
        <f>IF(ISNUMBER((Datos!M17-Datos!W17)/Datos!W17),(Datos!M17-Datos!W17)/Datos!W17," - ")</f>
        <v>-0.75</v>
      </c>
      <c r="I17" s="350">
        <f>IF(ISNUMBER((Tasas!C17-Datos!BE17)/Datos!BE17),(Tasas!C17-Datos!BE17)/Datos!BE17," - ")</f>
        <v>2.1617224880382775</v>
      </c>
      <c r="J17" s="349">
        <f>IF(ISNUMBER((Tasas!D17-Datos!BF17)/Datos!BF17),(Tasas!D17-Datos!BF17)/Datos!BF17," - ")</f>
        <v>-0.7318181818181817</v>
      </c>
      <c r="K17" s="351">
        <f>IF(ISNUMBER((Tasas!E17-Datos!BG17)/Datos!BG17),(Tasas!E17-Datos!BG17)/Datos!BG17," - ")</f>
        <v>0.35005165289256185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0.29692645444566412</v>
      </c>
      <c r="E18" s="354">
        <f>IF(ISNUMBER(
   IF(D_I="SI",(Datos!J18-Datos!T18)/Datos!T18,(Datos!J18+Datos!AD18-(Datos!T18+Datos!AL18))/(Datos!T18+Datos!AL18))
     ),IF(D_I="SI",(Datos!J18-Datos!T18)/Datos!T18,(Datos!J18+Datos!AD18-(Datos!T18+Datos!AL18))/(Datos!T18+Datos!AL18))," - ")</f>
        <v>5.4984177215189875E-2</v>
      </c>
      <c r="F18" s="354">
        <f>IF(ISNUMBER(
   IF(D_I="SI",(Datos!K18-Datos!U18)/Datos!U18,(Datos!K18+Datos!AE18-(Datos!U18+Datos!AM18))/(Datos!U18+Datos!AM18))
     ),IF(D_I="SI",(Datos!K18-Datos!U18)/Datos!U18,(Datos!K18+Datos!AE18-(Datos!U18+Datos!AM18))/(Datos!U18+Datos!AM18))," - ")</f>
        <v>6.1417971970321519E-2</v>
      </c>
      <c r="G18" s="355">
        <f>IF(ISNUMBER(
   IF(D_I="SI",(Datos!L18-Datos!V18)/Datos!V18,(Datos!L18+Datos!AF18-(Datos!V18+Datos!AN18))/(Datos!V18+Datos!AN18))
     ),IF(D_I="SI",(Datos!L18-Datos!V18)/Datos!V18,(Datos!L18+Datos!AF18-(Datos!V18+Datos!AN18))/(Datos!V18+Datos!AN18))," - ")</f>
        <v>0.3702479338842975</v>
      </c>
      <c r="H18" s="356">
        <f>IF(ISNUMBER((Datos!M18-Datos!W18)/Datos!W18),(Datos!M18-Datos!W18)/Datos!W18," - ")</f>
        <v>-1.2E-2</v>
      </c>
      <c r="I18" s="357">
        <f>IF(ISNUMBER((Tasas!C18-Datos!BE18)/Datos!BE18),(Tasas!C18-Datos!BE18)/Datos!BE18," - ")</f>
        <v>0.29095980101099256</v>
      </c>
      <c r="J18" s="355">
        <f>IF(ISNUMBER((Tasas!D18-Datos!BF18)/Datos!BF18),(Tasas!D18-Datos!BF18)/Datos!BF18," - ")</f>
        <v>-6.9169708737864086E-2</v>
      </c>
      <c r="K18" s="358">
        <f>IF(ISNUMBER((Tasas!E18-Datos!BG18)/Datos!BG18),(Tasas!E18-Datos!BG18)/Datos!BG18," - ")</f>
        <v>8.9412342372503173E-2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0.43635471204188481</v>
      </c>
      <c r="E19" s="363">
        <f>IF(ISNUMBER(
   IF(J_V="SI",(Datos!J19-Datos!T19)/Datos!T19,(Datos!J19+Datos!Z19-(Datos!T19+Datos!AH19))/(Datos!T19+Datos!AH19))
     ),IF(J_V="SI",(Datos!J19-Datos!T19)/Datos!T19,(Datos!J19+Datos!Z19-(Datos!T19+Datos!AH19))/(Datos!T19+Datos!AH19))," - ")</f>
        <v>6.131979695431472E-2</v>
      </c>
      <c r="F19" s="363">
        <f>IF(ISNUMBER(
   IF(J_V="SI",(Datos!K19-Datos!U19)/Datos!U19,(Datos!K19+Datos!AA19-(Datos!U19+Datos!AI19))/(Datos!U19+Datos!AI19))
     ),IF(J_V="SI",(Datos!K19-Datos!U19)/Datos!U19,(Datos!K19+Datos!AA19-(Datos!U19+Datos!AI19))/(Datos!U19+Datos!AI19))," - ")</f>
        <v>0.20417095777548919</v>
      </c>
      <c r="G19" s="364">
        <f>IF(ISNUMBER(
   IF(J_V="SI",(Datos!L19-Datos!V19)/Datos!V19,(Datos!L19+Datos!AB19-(Datos!V19+Datos!AJ19))/(Datos!V19+Datos!AJ19))
     ),IF(J_V="SI",(Datos!L19-Datos!V19)/Datos!V19,(Datos!L19+Datos!AB19-(Datos!V19+Datos!AJ19))/(Datos!V19+Datos!AJ19))," - ")</f>
        <v>0.32893242475865986</v>
      </c>
      <c r="H19" s="365">
        <f>IF(ISNUMBER((Datos!M19-Datos!W19)/Datos!W19),(Datos!M19-Datos!W19)/Datos!W19," - ")</f>
        <v>0.30912476722532589</v>
      </c>
      <c r="I19" s="362">
        <f>IF(ISNUMBER((Tasas!C19-Datos!BE19)/Datos!BE19),(Tasas!C19-Datos!BE19)/Datos!BE19," - ")</f>
        <v>0.10360776945961829</v>
      </c>
      <c r="J19" s="363">
        <f>IF(ISNUMBER((Tasas!D19-Datos!BF19)/Datos!BF19),(Tasas!D19-Datos!BF19)/Datos!BF19," - ")</f>
        <v>-0.41208041494653291</v>
      </c>
      <c r="K19" s="364">
        <f>IF(ISNUMBER((Tasas!E19-Datos!BG19)/Datos!BG19),(Tasas!E19-Datos!BG19)/Datos!BG19," - ")</f>
        <v>5.3840611425998462E-2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0.50006255253968235</v>
      </c>
      <c r="E21" s="278">
        <f t="shared" si="1"/>
        <v>0.10276428695039574</v>
      </c>
      <c r="F21" s="278">
        <f t="shared" si="1"/>
        <v>0.27022215554294593</v>
      </c>
      <c r="G21" s="279">
        <f t="shared" si="1"/>
        <v>0.92470479502466041</v>
      </c>
      <c r="H21" s="285">
        <f t="shared" si="1"/>
        <v>0.5514435015003738</v>
      </c>
      <c r="I21" s="277">
        <f t="shared" si="1"/>
        <v>1.982715748777939</v>
      </c>
      <c r="J21" s="278">
        <f t="shared" si="1"/>
        <v>0.32114321226175685</v>
      </c>
      <c r="K21" s="279">
        <f t="shared" si="1"/>
        <v>1.0391462960703637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qjtZ9CmmEORp0Dfzww335niUhdHCiUbhyXF6IkT0iTAaXv2R5EXqE4cdF0aVxVQ2QGfa6pwyT+Cyor1tfYQxg==" saltValue="Dz4grLDrtr5KNdfwr2KN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